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PARTILHADO\Obras\_Cancha de Bocha - Novo\Arquivos para Licitação\"/>
    </mc:Choice>
  </mc:AlternateContent>
  <bookViews>
    <workbookView xWindow="-120" yWindow="-120" windowWidth="20730" windowHeight="11160"/>
  </bookViews>
  <sheets>
    <sheet name="ORÇ" sheetId="2" r:id="rId1"/>
    <sheet name="CFF" sheetId="5" r:id="rId2"/>
    <sheet name="BDI 1" sheetId="4" r:id="rId3"/>
    <sheet name="BDI 2" sheetId="3" r:id="rId4"/>
  </sheets>
  <externalReferences>
    <externalReference r:id="rId5"/>
  </externalReferences>
  <definedNames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Apelido" hidden="1">[1]DADOS!$F$16</definedName>
    <definedName name="Import.DescLote" hidden="1">[1]DADOS!$F$17</definedName>
    <definedName name="Import.Desoneracao" hidden="1">OFFSET([1]DADOS!$G$18,0,-1)</definedName>
    <definedName name="Import.Município" hidden="1">[1]DADOS!$F$6</definedName>
    <definedName name="Import.RespOrçamento" hidden="1">[1]DADOS!$F$22:$F$24</definedName>
    <definedName name="NCOMPOSICOES">1</definedName>
    <definedName name="TIPOORCAMENTO" hidden="1">IF(VALUE([1]MENU!$O$3)=2,"Licitado","Proposto")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3" l="1"/>
  <c r="I34" i="5" l="1"/>
  <c r="U62" i="2"/>
  <c r="U38" i="2"/>
  <c r="U30" i="2"/>
  <c r="U27" i="2"/>
  <c r="U26" i="2"/>
  <c r="U23" i="2"/>
  <c r="J16" i="2"/>
  <c r="I21" i="2"/>
  <c r="J21" i="2" s="1"/>
  <c r="V24" i="2"/>
  <c r="X33" i="2"/>
  <c r="W33" i="2"/>
  <c r="I33" i="2"/>
  <c r="J33" i="2" s="1"/>
  <c r="I30" i="5" l="1"/>
  <c r="J30" i="5"/>
  <c r="K30" i="5"/>
  <c r="L30" i="5"/>
  <c r="M30" i="5"/>
  <c r="H30" i="5"/>
  <c r="G43" i="4"/>
  <c r="V62" i="2" l="1"/>
  <c r="I62" i="2"/>
  <c r="J62" i="2" s="1"/>
  <c r="V30" i="2"/>
  <c r="V29" i="2"/>
  <c r="I55" i="2" l="1"/>
  <c r="J55" i="2" s="1"/>
  <c r="I54" i="2"/>
  <c r="J54" i="2" s="1"/>
  <c r="V51" i="2"/>
  <c r="V50" i="2"/>
  <c r="I48" i="2"/>
  <c r="J48" i="2" s="1"/>
  <c r="I49" i="2"/>
  <c r="J49" i="2" s="1"/>
  <c r="I50" i="2"/>
  <c r="J50" i="2" s="1"/>
  <c r="X47" i="2"/>
  <c r="V23" i="2" l="1"/>
  <c r="V27" i="2"/>
  <c r="V26" i="2"/>
  <c r="V28" i="2"/>
  <c r="V36" i="2"/>
  <c r="V32" i="2"/>
  <c r="I36" i="2"/>
  <c r="J36" i="2" s="1"/>
  <c r="I34" i="2"/>
  <c r="J34" i="2" s="1"/>
  <c r="I32" i="2"/>
  <c r="J32" i="2" s="1"/>
  <c r="I28" i="2"/>
  <c r="J28" i="2" s="1"/>
  <c r="I42" i="2"/>
  <c r="J42" i="2" s="1"/>
  <c r="V40" i="2" l="1"/>
  <c r="I40" i="2"/>
  <c r="J40" i="2" s="1"/>
  <c r="I39" i="2"/>
  <c r="J39" i="2" s="1"/>
  <c r="I38" i="2"/>
  <c r="J38" i="2" s="1"/>
  <c r="I27" i="2"/>
  <c r="J27" i="2" s="1"/>
  <c r="I26" i="2"/>
  <c r="J26" i="2" s="1"/>
  <c r="J37" i="2" l="1"/>
  <c r="I23" i="2"/>
  <c r="J23" i="2" s="1"/>
  <c r="I58" i="2"/>
  <c r="J58" i="2" s="1"/>
  <c r="I59" i="2"/>
  <c r="J59" i="2" s="1"/>
  <c r="I30" i="2"/>
  <c r="J30" i="2" s="1"/>
  <c r="I29" i="2"/>
  <c r="J29" i="2" s="1"/>
  <c r="I25" i="2"/>
  <c r="J25" i="2" s="1"/>
  <c r="I24" i="2"/>
  <c r="J24" i="2" s="1"/>
  <c r="I65" i="2"/>
  <c r="J65" i="2" s="1"/>
  <c r="I64" i="2"/>
  <c r="J64" i="2" s="1"/>
  <c r="I61" i="2"/>
  <c r="J61" i="2" s="1"/>
  <c r="I60" i="2"/>
  <c r="J60" i="2" s="1"/>
  <c r="I56" i="2"/>
  <c r="J56" i="2" s="1"/>
  <c r="I53" i="2"/>
  <c r="J53" i="2" s="1"/>
  <c r="I51" i="2"/>
  <c r="J51" i="2" s="1"/>
  <c r="I47" i="2"/>
  <c r="J47" i="2" s="1"/>
  <c r="I46" i="2"/>
  <c r="J46" i="2" s="1"/>
  <c r="I45" i="2"/>
  <c r="J45" i="2" s="1"/>
  <c r="I43" i="2"/>
  <c r="J43" i="2" s="1"/>
  <c r="I44" i="2"/>
  <c r="J44" i="2" s="1"/>
  <c r="I17" i="2"/>
  <c r="J17" i="2" s="1"/>
  <c r="I18" i="2"/>
  <c r="J18" i="2" s="1"/>
  <c r="I19" i="2"/>
  <c r="J19" i="2" s="1"/>
  <c r="I20" i="2"/>
  <c r="J20" i="2" s="1"/>
  <c r="J57" i="2" l="1"/>
  <c r="J63" i="2"/>
  <c r="J52" i="2"/>
  <c r="J41" i="2"/>
  <c r="J22" i="2"/>
  <c r="I35" i="2"/>
  <c r="J35" i="2" s="1"/>
  <c r="J31" i="2" s="1"/>
  <c r="J68" i="2" l="1"/>
  <c r="N68" i="2"/>
  <c r="M20" i="2"/>
  <c r="M19" i="2"/>
  <c r="R19" i="2" s="1"/>
  <c r="M17" i="2"/>
  <c r="R17" i="2" s="1"/>
  <c r="R18" i="2"/>
  <c r="R20" i="2" l="1"/>
  <c r="F71" i="2" l="1"/>
  <c r="F12" i="5" l="1"/>
  <c r="J27" i="4"/>
  <c r="J29" i="4" s="1"/>
  <c r="J29" i="3"/>
  <c r="P20" i="2"/>
  <c r="Q20" i="2" s="1"/>
  <c r="P19" i="2"/>
  <c r="Q19" i="2" s="1"/>
  <c r="J12" i="5" l="1"/>
  <c r="M12" i="5"/>
  <c r="K12" i="5"/>
  <c r="L12" i="5"/>
  <c r="H12" i="5"/>
  <c r="I12" i="5"/>
  <c r="P18" i="2"/>
  <c r="Q18" i="2" s="1"/>
  <c r="F30" i="5"/>
  <c r="P17" i="2" l="1"/>
  <c r="O68" i="2"/>
  <c r="P68" i="2" l="1"/>
  <c r="Q17" i="2"/>
  <c r="R68" i="2" l="1"/>
</calcChain>
</file>

<file path=xl/sharedStrings.xml><?xml version="1.0" encoding="utf-8"?>
<sst xmlns="http://schemas.openxmlformats.org/spreadsheetml/2006/main" count="456" uniqueCount="253">
  <si>
    <t>ITEM</t>
  </si>
  <si>
    <t>SERVIÇO</t>
  </si>
  <si>
    <t>FONTE</t>
  </si>
  <si>
    <t>CÓDIGO</t>
  </si>
  <si>
    <t>Proprietério</t>
  </si>
  <si>
    <t>Prefeitura Municipal de Rio das Antas</t>
  </si>
  <si>
    <t>Endereço:</t>
  </si>
  <si>
    <t>Descrição:</t>
  </si>
  <si>
    <t>BDI:</t>
  </si>
  <si>
    <t>Data Base</t>
  </si>
  <si>
    <t>Referência Orçamento:</t>
  </si>
  <si>
    <t>SINAPI</t>
  </si>
  <si>
    <t>UNID</t>
  </si>
  <si>
    <t>CUSTO UNITÁRIO (S/BDI) (R$)</t>
  </si>
  <si>
    <t>PREÇO UNITÁRIO (C/ BDI) (R$)</t>
  </si>
  <si>
    <t>M2</t>
  </si>
  <si>
    <t>BDI</t>
  </si>
  <si>
    <t>BDI 1</t>
  </si>
  <si>
    <t>BDI 2</t>
  </si>
  <si>
    <t>UN</t>
  </si>
  <si>
    <t>M</t>
  </si>
  <si>
    <t>TOTAL</t>
  </si>
  <si>
    <t>____________________________</t>
  </si>
  <si>
    <t>(Não des.)</t>
  </si>
  <si>
    <t>Responsável (empresa proponente)</t>
  </si>
  <si>
    <t>SERVIÇOS INICIAIS</t>
  </si>
  <si>
    <t>1.4.</t>
  </si>
  <si>
    <t>1.5.</t>
  </si>
  <si>
    <t>1.7.</t>
  </si>
  <si>
    <t>Responsável técnico (empresa proponente)</t>
  </si>
  <si>
    <t>CREA XXXXXXXXX</t>
  </si>
  <si>
    <t>APELIDO DO EMPREENDIMENTO / DESCRIÇÃO DO LOTE</t>
  </si>
  <si>
    <t>Sobre a base de cálculo, definir a respectiva alíquota do ISS (entre 2% e 5%):</t>
  </si>
  <si>
    <t>TIPO DE OBRA</t>
  </si>
  <si>
    <t>Itens</t>
  </si>
  <si>
    <t>Siglas</t>
  </si>
  <si>
    <t>% Adotado</t>
  </si>
  <si>
    <t>1º Quartil</t>
  </si>
  <si>
    <t>Médio</t>
  </si>
  <si>
    <t>3º Quartil</t>
  </si>
  <si>
    <t>-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</si>
  <si>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</si>
  <si>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</si>
  <si>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</si>
  <si>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</si>
  <si>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</si>
  <si>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</si>
  <si>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</si>
  <si>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 PAD</t>
  </si>
  <si>
    <t>BDI =</t>
  </si>
  <si>
    <t xml:space="preserve"> - 1</t>
  </si>
  <si>
    <t>(1-CP-ISS-CRPB)</t>
  </si>
  <si>
    <t>Local</t>
  </si>
  <si>
    <t>Data</t>
  </si>
  <si>
    <t>Administração Central</t>
  </si>
  <si>
    <t>AC</t>
  </si>
  <si>
    <t>Seguro e Garantia</t>
  </si>
  <si>
    <t>SG</t>
  </si>
  <si>
    <t>Risco</t>
  </si>
  <si>
    <t>R</t>
  </si>
  <si>
    <t>Despesas Financeiras</t>
  </si>
  <si>
    <t>DF</t>
  </si>
  <si>
    <t>Lucro</t>
  </si>
  <si>
    <t>L</t>
  </si>
  <si>
    <t/>
  </si>
  <si>
    <t>(1+AC + S + R + G)*(1 + DF)*(1+L)</t>
  </si>
  <si>
    <t>Declaro para os devidos fins que, conforme legislação tributária municipal, a base de cálculo deste tipo de obra corresponde à 25%, com a respectiva alíquota de 3%.</t>
  </si>
  <si>
    <t>Declaro para os devidos fins que o regime de Contribuição Previdenciária sobre a Receita Bruta adotado para elaboração do orçamento foi SEM Desoneração, e que esta é a alternativa mais adequada para a Administração Pública.</t>
  </si>
  <si>
    <t>percentual da base de cálculo para o ISS (mão de obra):</t>
  </si>
  <si>
    <t>Declaramos que esta planilha foi elaborada conforme equação para cálculo do percentual do BDI recomendado pelo Acórdão 2622/2013 - TCU, representada pela fórmula abaixo:</t>
  </si>
  <si>
    <t>Item</t>
  </si>
  <si>
    <t>Descrição</t>
  </si>
  <si>
    <t>Valor (R$)</t>
  </si>
  <si>
    <t>Parcelas:</t>
  </si>
  <si>
    <t>1.</t>
  </si>
  <si>
    <t>% Período:</t>
  </si>
  <si>
    <t>1.1.</t>
  </si>
  <si>
    <t>1.2.</t>
  </si>
  <si>
    <t>1.3.</t>
  </si>
  <si>
    <t>1.6.</t>
  </si>
  <si>
    <t>1°</t>
  </si>
  <si>
    <t>2°</t>
  </si>
  <si>
    <t>3°</t>
  </si>
  <si>
    <t>4°</t>
  </si>
  <si>
    <t>5°</t>
  </si>
  <si>
    <t>6°</t>
  </si>
  <si>
    <t>Valor no Período:</t>
  </si>
  <si>
    <t>EVOLUÇÃO FÍSICA</t>
  </si>
  <si>
    <t>ACUMUL. ANTERIOR</t>
  </si>
  <si>
    <t>PERÍODO</t>
  </si>
  <si>
    <t>ACUMUL. INCLUINDO O PERÍODO</t>
  </si>
  <si>
    <t>EVOLUÇÃO FINANCEIRA</t>
  </si>
  <si>
    <t>Rua do Comércio, s/n, centro, ginásio de esportes Nelson Lenardt</t>
  </si>
  <si>
    <t>Área / Extensão:</t>
  </si>
  <si>
    <t>Sinapi, composições próprias</t>
  </si>
  <si>
    <t>QTDE</t>
  </si>
  <si>
    <t>PREÇO TOTAL (R$)</t>
  </si>
  <si>
    <t xml:space="preserve">Empresa Contratada: </t>
  </si>
  <si>
    <t>Contrato:</t>
  </si>
  <si>
    <t>Data - ordem de serv:</t>
  </si>
  <si>
    <t>CANCHA DE BOCHA</t>
  </si>
  <si>
    <t>TELA DE PROTEÇÃO</t>
  </si>
  <si>
    <t>SERVIÇOS FINAIS</t>
  </si>
  <si>
    <t>PLACA DA OBRA</t>
  </si>
  <si>
    <t>EMISSÃO ART DE EXECUÇÃO</t>
  </si>
  <si>
    <t>CREA-SC</t>
  </si>
  <si>
    <t>ADMINISTRAÇÃO LOCAL DA OBRA</t>
  </si>
  <si>
    <t>MOBILIZAÇÃO DE EQUIPAMENTOS</t>
  </si>
  <si>
    <t>LIMPEZA FINAL DA OBRA</t>
  </si>
  <si>
    <t>DEMOLIÇÕES E REMOÇÕES</t>
  </si>
  <si>
    <t>DESMOBILIZAÇÃO DE EQUIPAMENTOS</t>
  </si>
  <si>
    <t>PLACAR ELETRÔNICO</t>
  </si>
  <si>
    <t>DEMOLIÇÃO DE ALVENARIA DE BLOCO FURADO, DE FORMA MANUAL, SEM REAPROVEITAMENTO. AF_09/2023</t>
  </si>
  <si>
    <t>M3</t>
  </si>
  <si>
    <t>97622</t>
  </si>
  <si>
    <t>2.1</t>
  </si>
  <si>
    <t>100697</t>
  </si>
  <si>
    <t>RECOLOCAÇÃO DE BATENTES DE PORTA DE MADEIRA, CONSIDERANDO REAPROVEITAMENTO DO MATERIAL. AF_12/2019</t>
  </si>
  <si>
    <t>2.2</t>
  </si>
  <si>
    <t>100203</t>
  </si>
  <si>
    <t>2.3</t>
  </si>
  <si>
    <t>KGXKM</t>
  </si>
  <si>
    <t>2.4</t>
  </si>
  <si>
    <t>LIMPEZA DE CONTRAPISO COM VASSOURA A SECO. AF_04/2019</t>
  </si>
  <si>
    <t>99811</t>
  </si>
  <si>
    <t>DEINFRA</t>
  </si>
  <si>
    <t>2.5</t>
  </si>
  <si>
    <t>2.6</t>
  </si>
  <si>
    <t>RETIRADA DE CARPETE</t>
  </si>
  <si>
    <t>COMPOSIÇÃO</t>
  </si>
  <si>
    <t>103689</t>
  </si>
  <si>
    <t>GUIAS EM MADEIRA</t>
  </si>
  <si>
    <t>001</t>
  </si>
  <si>
    <t>CONTRAPISO EM ARGAMASSA TRAÇO 1:4 (CIMENTO E AREIA), PREPARO MANUAL (ABAULAMENTO NAS BORDAS DO PISO)</t>
  </si>
  <si>
    <t>RETIRADA DE ESTRUTURA DE MADEIRA COM REAPROVEITAMENTO</t>
  </si>
  <si>
    <t>RETIRADA DE ESTRUTURA DE MADEIRA SEM REAPROVEITAMENTO</t>
  </si>
  <si>
    <t>MO =53,07</t>
  </si>
  <si>
    <t>MAT = 65,29</t>
  </si>
  <si>
    <t>3992</t>
  </si>
  <si>
    <t>SINAPI-I</t>
  </si>
  <si>
    <t xml:space="preserve">TABUA APARELHADA *2,5 X 30* CM, EM MACARANDUBA/MASSARANDUBA, ANGELIM OU EQUIVALENTE DA REGIAO (REVESTIMENTO EXTERNO DAS GUIAS)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</si>
  <si>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3993</t>
  </si>
  <si>
    <t>RECOLOCAÇÃO DE ESTRUTURAS DE MADEIRA E TÁBUAS DE REVESTIMENTO, PARA GUIAS LATERAIS, DIMENSÕES 30X10CM</t>
  </si>
  <si>
    <t xml:space="preserve">TABUA APARELHADA *2,5 X 10* CM, EM MACARANDUBA/MASSARANDUBA, ANGELIM OU EQUIVALENTE DA REGIAO (REVESTIMENTO EXTERNO DAS GUIAS)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</si>
  <si>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3.1</t>
  </si>
  <si>
    <t>3.2</t>
  </si>
  <si>
    <t>4.1</t>
  </si>
  <si>
    <t>4.2</t>
  </si>
  <si>
    <t>4.3</t>
  </si>
  <si>
    <t>COTAÇÃO</t>
  </si>
  <si>
    <t>5.1</t>
  </si>
  <si>
    <t>5.2</t>
  </si>
  <si>
    <t>002</t>
  </si>
  <si>
    <t>003</t>
  </si>
  <si>
    <t>5.3</t>
  </si>
  <si>
    <t>5.4</t>
  </si>
  <si>
    <t>004</t>
  </si>
  <si>
    <t>TRANSPORTE HORIZONTAL COM CARRINHO DE MÃO, ENTULHOS E AREIA (UNIDADE: KGXKM). AF_07/2019</t>
  </si>
  <si>
    <t>5.5</t>
  </si>
  <si>
    <t>CARGA MANUAL DE SOLO/AREIA, COM PÁ</t>
  </si>
  <si>
    <t>EXECUÇÃO DE PISO DE CONCRETO, COM CONCRETO USINADO, BOMBEÁVEL, FCK=25 MPA, BRITA 0, ACABAMENTO CONVENCIONAL, ESPESSURA 8 CM. AF_08/2022</t>
  </si>
  <si>
    <t>94995/1</t>
  </si>
  <si>
    <t>ARMAÇÃO DE PISO, COM TELA DE AÇO SOLDADA NERVURADA, CA-60, Q-92 (1,48 KG/M2), DIÂMETRO DO FIO = 4,2 MM, LARGURA 2,45 X 6,00M DE COMPRIMENTO, ESPAÇAMENTO DA MALHA 15X15CM</t>
  </si>
  <si>
    <t>CONTRAPISO EM ARGAMASSA TRAÇO 1:4 (CIMENTO E AREIA), PREPARO MECÂNICO COM BETONEIRA 400 L, APLICADO EM ÁREAS SECAS SOBRE LAJE, ADERIDO, ACABAMENTO NÃO REFORÇADO, ESPESSURA 2CM. AF_07/2021</t>
  </si>
  <si>
    <t>PISO E CONTRAPISO</t>
  </si>
  <si>
    <t>87620</t>
  </si>
  <si>
    <t>área do trapézio x perímetro do local</t>
  </si>
  <si>
    <t>espessura de 0,10m e área do piso = 101,22 m2</t>
  </si>
  <si>
    <t>perímetro das guias e dos fundos da direita</t>
  </si>
  <si>
    <t>área da estrutura dos fundos da esquerda</t>
  </si>
  <si>
    <t>área do carpete existente nas paredes</t>
  </si>
  <si>
    <t xml:space="preserve">ADESIVO ACRILICO DE BASE AQUOSA / COLA DE CONTATO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</si>
  <si>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4791</t>
  </si>
  <si>
    <t>5.6</t>
  </si>
  <si>
    <t>KG</t>
  </si>
  <si>
    <t>0,25 kg/m2</t>
  </si>
  <si>
    <t>área =</t>
  </si>
  <si>
    <t>PISO EM FELTRO PARA CONTRAPISO - INSTALAÇÃO</t>
  </si>
  <si>
    <t>PISO EM FELTRO/CARPETE PARA CANCHA DE BOCHA - INSTALAÇÃO</t>
  </si>
  <si>
    <t>REVESTIMENTO EM FELTRO/CARPETE PARA PAREDES - INSTALAÇÃO</t>
  </si>
  <si>
    <t>FELTRO PARA CONTRAPISO - CONJUNTO DE 2 ROLOS, COM DIMENSÕES 2,15 X 25M, ESPESSURA DE 3,00MM, GRAMATURA DE 350 GR/M2, 100% POLIÉSTER - ESPECÍFICO PARA CANCHA DE BOCHA - FRETE INCLUSO</t>
  </si>
  <si>
    <t>CARPETE - FELTRO GRAFITE PARA CANCHA DE BOCHA, DIMENSÕES 4X27M, ESPESSURA DE 2,3MM, GRAMATURA DE 470 G/M2, 100% POLIÉSTER - ESPECÍFICO PARA CANCHA DE BOCHA - FRETE INCLUSO</t>
  </si>
  <si>
    <t>CARPETE - FELTRO COLORIDO NA COR VERMELHA, ROLO COM 30M, 100% POLIÉSTER, ESP.  ≥ 1,00MM - FRETE INCLUSO</t>
  </si>
  <si>
    <t>CARPETE - FELTRO COLORIDO NA COR VERDE BANDEIRA, ROLO COM 30M, 100% POLIÉSTER, ESP.  ≥ 1,00MM - FRETE INCLUSO</t>
  </si>
  <si>
    <t>102505*</t>
  </si>
  <si>
    <t>43604*</t>
  </si>
  <si>
    <t>PINTURA DE DEMARCAÇÃO DE QUADRA, COM TINTA ESPECÍFICA PARA CARPETE, APLICAÇÃO MANUAL. AF_05/2021</t>
  </si>
  <si>
    <t>PLACAR ELETRÔNICO ESPORTIVO, COM CONTROLE SEM FIO - FRETE INCLUSO</t>
  </si>
  <si>
    <t>005</t>
  </si>
  <si>
    <t>6.1</t>
  </si>
  <si>
    <t>ELETRODUTO RÍGIDO SOLDÁVEL, PVC, DN 25 MM (3/4''), APARENTE - FORNECIMENTO E INSTALAÇÃO. AF_10/2022</t>
  </si>
  <si>
    <t>95727</t>
  </si>
  <si>
    <t>6.2</t>
  </si>
  <si>
    <t>91992</t>
  </si>
  <si>
    <t>6.3</t>
  </si>
  <si>
    <t>TOMADA ALTA DE SOBREPOR (1 MÓDULO), 2P+T 10 A, INCLUINDO CAIXA E MÓDULO - FORNECIMENTO E INSTALAÇÃO. AF_03/2023</t>
  </si>
  <si>
    <t>CABO DE COBRE FLEXÍVEL ISOLADO, 2,5 MM², ANTI-CHAMA 450/750 V, PARA CIRCUITOS TERMINAIS - FORNECIMENTO E INSTALAÇÃO. AF_03/2023</t>
  </si>
  <si>
    <t>91926</t>
  </si>
  <si>
    <t>CARGA MANUAL E TRANSPORTE DE ENTULHO C/ CAMINHÃO DMT 10KM (BOTA-FORA/DESTINAÇÃO FINAL)</t>
  </si>
  <si>
    <t>3.3</t>
  </si>
  <si>
    <t>3.4</t>
  </si>
  <si>
    <t>3.5</t>
  </si>
  <si>
    <t>5.7</t>
  </si>
  <si>
    <t>5.8</t>
  </si>
  <si>
    <t>5.9</t>
  </si>
  <si>
    <t>5.10</t>
  </si>
  <si>
    <t>1.1</t>
  </si>
  <si>
    <t>1.2</t>
  </si>
  <si>
    <t>1.3</t>
  </si>
  <si>
    <t>1.4</t>
  </si>
  <si>
    <t>2.7</t>
  </si>
  <si>
    <t>2.8</t>
  </si>
  <si>
    <t>7.1</t>
  </si>
  <si>
    <t>PROTEÇÃO EM TELA DE AÇO ONCULADA ARTÍSTICA, FIO 12 BWG (2,77MM), MALHA 5X5CM; MONTANTES E TUBO HORIZONTAL EM TUBO DE AÇO 2" ESP:2,25MM, E QUADRO INTERNO EM PERFIL CANTONEIRA 1" ESP:1/8" (3,17MM), FIXADO COM CHUMBADOR MECÂNICO DO TIPO PARABOLT - FORNECIMENTO E INSTALAÇÃO</t>
  </si>
  <si>
    <t>006</t>
  </si>
  <si>
    <t>7.2</t>
  </si>
  <si>
    <t>3106</t>
  </si>
  <si>
    <t xml:space="preserve">FERROLHO COM FECHO CHATO E PORTA CADEADO , EM ACO GALVANIZADO / ZINCADO, DE SOBREPOR, COM COMPRIMENTO DE 6", CHAPA COM ESPESSURA MINIMA DE 1,70 MM E LARGURA /MINIMA DE 5,00 CM (FECHO REFORCADO) (INCLUI PARAFUSOS)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</si>
  <si>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7.3</t>
  </si>
  <si>
    <t xml:space="preserve">CADEADO SIMPLES, CORPO EM LATAO MACICO, COM LARGURA DE 35 MM E ALTURA DE APROX 30 MM, HASTE CEMENTADA (NAO LONGA), EM ACO TEMPERADO COM DIAMETRO DE APROX 6,0 MM, INCLUINDO 2 CHAVES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</si>
  <si>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5085</t>
  </si>
  <si>
    <t>7.4</t>
  </si>
  <si>
    <t>PORTA EM TELA DE AÇO ONDULADA ARTÍSTICA, FIO FIO 12 BWG (2,77MM), MALHA 5X5CM; MONTANTES E TUBO HORIZONTAL EM TUBO DE AÇO 2" ESP:2,25MM, E QUADRO INTERNO EM PERFIL CANTONEIRA 1" ESP:1/8" (3,17MM), COM  - FORNECIMENTO E INSTALAÇÃO</t>
  </si>
  <si>
    <t>007</t>
  </si>
  <si>
    <t>8.1</t>
  </si>
  <si>
    <t>8.2</t>
  </si>
  <si>
    <t>6.4</t>
  </si>
  <si>
    <t>PINTURA ELETROSTÁTICA</t>
  </si>
  <si>
    <t>7.5</t>
  </si>
  <si>
    <t>MOB/DESMOB</t>
  </si>
  <si>
    <t>ADM LOCAL</t>
  </si>
  <si>
    <t>110 m2</t>
  </si>
  <si>
    <t>Construção e Reforma de Edifícios</t>
  </si>
  <si>
    <t>Obra de adequação da cancha de bocha no ginásio muncipal de esportes Nelson Lenardt, no município de Rio das Antas/SC.</t>
  </si>
  <si>
    <t>SEMANA</t>
  </si>
  <si>
    <t>Prazo de execução:</t>
  </si>
  <si>
    <t>dias</t>
  </si>
  <si>
    <t>FELTROS / CARPETES</t>
  </si>
  <si>
    <t>1.8.</t>
  </si>
  <si>
    <t>DMT = 15,2km</t>
  </si>
  <si>
    <t>95875</t>
  </si>
  <si>
    <t>M3XKM</t>
  </si>
  <si>
    <t>TRANSPORTE COM CAMINHÃO BETONEIRA, EM VIA URBANA PAVIMENTADA, DMT ATÉ 30 KM</t>
  </si>
  <si>
    <t>ALOJAMENTO DE PESSOAL</t>
  </si>
  <si>
    <t>UM/MÊS</t>
  </si>
  <si>
    <t>1.5</t>
  </si>
  <si>
    <t>TIMBRE DA EMPRESA PROPONENTE
CRONOGRAMA FÍSICO-FINANCEIRO</t>
  </si>
  <si>
    <t xml:space="preserve">Responsável técnico: </t>
  </si>
  <si>
    <t>CREA</t>
  </si>
  <si>
    <t>TIMBRE DA EMPRESA PROPONENTE
COMPOSIÇÃO DO BDI</t>
  </si>
  <si>
    <r>
      <t xml:space="preserve">Timbre da empresa proponente
</t>
    </r>
    <r>
      <rPr>
        <sz val="12"/>
        <color theme="1"/>
        <rFont val="Arial"/>
        <family val="2"/>
      </rPr>
      <t xml:space="preserve">PLANILHA ORÇAMENTÁRIA
</t>
    </r>
    <r>
      <rPr>
        <sz val="10"/>
        <color theme="1"/>
        <rFont val="Arial"/>
        <family val="2"/>
      </rPr>
      <t xml:space="preserve">
OBRA: Adequação de cancha de bocha no Ginásio Municipal Nelson Lenardt</t>
    </r>
  </si>
  <si>
    <t xml:space="preserve">Responsável técnico
CREA  </t>
  </si>
  <si>
    <t xml:space="preserve">Local,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</si>
</sst>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F800]dddd\,\ mmmm\ dd\,\ yyyy"/>
    <numFmt numFmtId="165" formatCode="_(&quot;R$ &quot;* #,##0.00_);_(&quot;R$ &quot;* \(#,##0.00\);_(&quot;R$ &quot;* \-??_);_(@_)"/>
    <numFmt numFmtId="166" formatCode="General;General"/>
    <numFmt numFmtId="167" formatCode="dd&quot; de &quot;mmmm&quot; de &quot;yyyy"/>
    <numFmt numFmtId="168" formatCode="_-* #,##0.00_-;\-* #,##0.00_-;_-* \-??_-;_-@_-"/>
    <numFmt numFmtId="169" formatCode="_(\ #,##0.00_);_(&quot; (&quot;#,##0.00\);_(&quot; -&quot;??_);_(@_)"/>
    <numFmt numFmtId="170" formatCode="mm/yy"/>
    <numFmt numFmtId="171" formatCode="0\."/>
    <numFmt numFmtId="172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i/>
      <sz val="12"/>
      <name val="Calibri"/>
      <family val="2"/>
    </font>
    <font>
      <u/>
      <sz val="10"/>
      <name val="Arial"/>
      <family val="2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 tint="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165" fontId="8" fillId="0" borderId="0" applyFill="0" applyBorder="0" applyAlignment="0" applyProtection="0"/>
    <xf numFmtId="0" fontId="8" fillId="0" borderId="0"/>
    <xf numFmtId="0" fontId="18" fillId="0" borderId="0"/>
    <xf numFmtId="168" fontId="8" fillId="0" borderId="0" applyFill="0" applyBorder="0" applyAlignment="0" applyProtection="0"/>
    <xf numFmtId="0" fontId="1" fillId="0" borderId="0"/>
  </cellStyleXfs>
  <cellXfs count="263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4" fontId="4" fillId="3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0" fontId="4" fillId="0" borderId="0" xfId="0" applyNumberFormat="1" applyFont="1" applyAlignment="1">
      <alignment vertical="center"/>
    </xf>
    <xf numFmtId="17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3" fillId="0" borderId="0" xfId="0" applyNumberFormat="1" applyFont="1"/>
    <xf numFmtId="17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" fontId="4" fillId="0" borderId="3" xfId="0" applyNumberFormat="1" applyFont="1" applyFill="1" applyBorder="1" applyAlignment="1">
      <alignment vertical="center"/>
    </xf>
    <xf numFmtId="17" fontId="4" fillId="0" borderId="4" xfId="0" applyNumberFormat="1" applyFont="1" applyFill="1" applyBorder="1" applyAlignment="1">
      <alignment vertical="center"/>
    </xf>
    <xf numFmtId="0" fontId="10" fillId="0" borderId="0" xfId="5" applyFont="1" applyProtection="1"/>
    <xf numFmtId="0" fontId="9" fillId="0" borderId="0" xfId="5" applyFont="1" applyFill="1" applyBorder="1" applyAlignment="1" applyProtection="1">
      <alignment horizontal="left"/>
    </xf>
    <xf numFmtId="0" fontId="0" fillId="0" borderId="0" xfId="5" applyFont="1" applyProtection="1"/>
    <xf numFmtId="0" fontId="13" fillId="0" borderId="24" xfId="5" applyFont="1" applyBorder="1" applyAlignment="1" applyProtection="1">
      <alignment horizontal="center" vertical="center"/>
    </xf>
    <xf numFmtId="10" fontId="13" fillId="4" borderId="24" xfId="5" applyNumberFormat="1" applyFont="1" applyFill="1" applyBorder="1" applyAlignment="1" applyProtection="1">
      <alignment horizontal="center" vertical="center"/>
      <protection locked="0"/>
    </xf>
    <xf numFmtId="10" fontId="13" fillId="0" borderId="24" xfId="5" applyNumberFormat="1" applyFont="1" applyFill="1" applyBorder="1" applyAlignment="1" applyProtection="1">
      <alignment horizontal="center" vertical="center"/>
    </xf>
    <xf numFmtId="10" fontId="13" fillId="0" borderId="24" xfId="5" applyNumberFormat="1" applyFont="1" applyFill="1" applyBorder="1" applyAlignment="1" applyProtection="1">
      <alignment horizontal="center" vertical="center" wrapText="1"/>
    </xf>
    <xf numFmtId="0" fontId="13" fillId="0" borderId="24" xfId="5" applyFont="1" applyFill="1" applyBorder="1" applyAlignment="1" applyProtection="1">
      <alignment horizontal="center" vertical="center" wrapText="1"/>
    </xf>
    <xf numFmtId="0" fontId="13" fillId="6" borderId="24" xfId="5" applyFont="1" applyFill="1" applyBorder="1" applyAlignment="1" applyProtection="1">
      <alignment horizontal="center" vertical="center" wrapText="1"/>
    </xf>
    <xf numFmtId="10" fontId="12" fillId="6" borderId="24" xfId="5" applyNumberFormat="1" applyFont="1" applyFill="1" applyBorder="1" applyAlignment="1" applyProtection="1">
      <alignment horizontal="center" vertical="center"/>
    </xf>
    <xf numFmtId="0" fontId="0" fillId="0" borderId="0" xfId="5" applyFont="1" applyBorder="1" applyAlignment="1" applyProtection="1">
      <alignment horizontal="center" vertical="top"/>
    </xf>
    <xf numFmtId="0" fontId="16" fillId="0" borderId="0" xfId="5" applyFont="1" applyBorder="1" applyAlignment="1" applyProtection="1">
      <alignment horizontal="center" vertical="top"/>
    </xf>
    <xf numFmtId="167" fontId="0" fillId="0" borderId="0" xfId="5" applyNumberFormat="1" applyFont="1" applyAlignment="1" applyProtection="1"/>
    <xf numFmtId="0" fontId="10" fillId="0" borderId="26" xfId="5" applyFont="1" applyBorder="1" applyAlignment="1" applyProtection="1">
      <alignment horizontal="left"/>
    </xf>
    <xf numFmtId="0" fontId="0" fillId="0" borderId="26" xfId="5" applyFont="1" applyBorder="1" applyProtection="1"/>
    <xf numFmtId="0" fontId="13" fillId="0" borderId="0" xfId="5" applyFont="1" applyBorder="1" applyProtection="1"/>
    <xf numFmtId="0" fontId="0" fillId="0" borderId="0" xfId="5" applyFont="1" applyBorder="1" applyProtection="1"/>
    <xf numFmtId="0" fontId="10" fillId="0" borderId="0" xfId="3" applyFont="1" applyBorder="1" applyAlignment="1" applyProtection="1">
      <alignment horizontal="left" vertical="top"/>
    </xf>
    <xf numFmtId="0" fontId="0" fillId="0" borderId="0" xfId="5" applyNumberFormat="1" applyFont="1" applyFill="1" applyBorder="1" applyAlignment="1" applyProtection="1">
      <alignment vertical="top"/>
    </xf>
    <xf numFmtId="166" fontId="0" fillId="0" borderId="0" xfId="5" applyNumberFormat="1" applyFont="1" applyFill="1" applyBorder="1" applyAlignment="1" applyProtection="1"/>
    <xf numFmtId="0" fontId="13" fillId="0" borderId="0" xfId="5" applyFont="1" applyProtection="1"/>
    <xf numFmtId="0" fontId="15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vertical="center"/>
    </xf>
    <xf numFmtId="0" fontId="8" fillId="0" borderId="0" xfId="3" applyFont="1" applyBorder="1" applyAlignment="1" applyProtection="1">
      <alignment horizontal="left" vertical="top"/>
    </xf>
    <xf numFmtId="0" fontId="20" fillId="0" borderId="35" xfId="6" applyFont="1" applyBorder="1" applyAlignment="1">
      <alignment horizontal="center"/>
    </xf>
    <xf numFmtId="170" fontId="20" fillId="0" borderId="36" xfId="6" applyNumberFormat="1" applyFont="1" applyBorder="1" applyAlignment="1">
      <alignment horizontal="center"/>
    </xf>
    <xf numFmtId="171" fontId="19" fillId="0" borderId="37" xfId="6" applyNumberFormat="1" applyFont="1" applyBorder="1" applyAlignment="1">
      <alignment horizontal="left"/>
    </xf>
    <xf numFmtId="0" fontId="19" fillId="0" borderId="39" xfId="6" applyFont="1" applyBorder="1"/>
    <xf numFmtId="0" fontId="14" fillId="0" borderId="39" xfId="6" applyFont="1" applyBorder="1" applyAlignment="1"/>
    <xf numFmtId="169" fontId="1" fillId="0" borderId="40" xfId="2" applyNumberFormat="1" applyFill="1" applyBorder="1" applyAlignment="1" applyProtection="1">
      <alignment horizontal="right" shrinkToFit="1"/>
    </xf>
    <xf numFmtId="169" fontId="0" fillId="0" borderId="31" xfId="2" applyNumberFormat="1" applyFont="1" applyFill="1" applyBorder="1" applyAlignment="1" applyProtection="1">
      <alignment horizontal="center" vertical="center"/>
    </xf>
    <xf numFmtId="169" fontId="0" fillId="0" borderId="22" xfId="2" applyNumberFormat="1" applyFont="1" applyFill="1" applyBorder="1" applyAlignment="1" applyProtection="1">
      <alignment horizontal="center" vertical="center"/>
    </xf>
    <xf numFmtId="0" fontId="14" fillId="0" borderId="39" xfId="6" applyFont="1" applyBorder="1" applyAlignment="1">
      <alignment horizontal="left"/>
    </xf>
    <xf numFmtId="169" fontId="0" fillId="0" borderId="41" xfId="2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>
      <alignment horizontal="center"/>
    </xf>
    <xf numFmtId="44" fontId="0" fillId="7" borderId="39" xfId="7" applyNumberFormat="1" applyFont="1" applyFill="1" applyBorder="1" applyAlignment="1" applyProtection="1">
      <alignment horizontal="right" shrinkToFit="1"/>
    </xf>
    <xf numFmtId="44" fontId="1" fillId="0" borderId="40" xfId="2" applyNumberFormat="1" applyFill="1" applyBorder="1" applyAlignment="1" applyProtection="1">
      <alignment horizontal="right" shrinkToFit="1"/>
    </xf>
    <xf numFmtId="10" fontId="0" fillId="7" borderId="42" xfId="0" applyNumberFormat="1" applyFill="1" applyBorder="1" applyAlignment="1">
      <alignment horizontal="center"/>
    </xf>
    <xf numFmtId="10" fontId="0" fillId="7" borderId="43" xfId="0" applyNumberFormat="1" applyFill="1" applyBorder="1" applyAlignment="1">
      <alignment horizontal="center"/>
    </xf>
    <xf numFmtId="44" fontId="1" fillId="0" borderId="38" xfId="2" applyNumberFormat="1" applyFill="1" applyBorder="1" applyAlignment="1" applyProtection="1">
      <alignment horizontal="right" shrinkToFit="1"/>
    </xf>
    <xf numFmtId="44" fontId="0" fillId="0" borderId="0" xfId="0" applyNumberFormat="1"/>
    <xf numFmtId="44" fontId="0" fillId="0" borderId="39" xfId="7" applyNumberFormat="1" applyFont="1" applyFill="1" applyBorder="1" applyAlignment="1" applyProtection="1">
      <alignment horizontal="right" shrinkToFit="1"/>
    </xf>
    <xf numFmtId="10" fontId="0" fillId="0" borderId="41" xfId="2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vertical="center"/>
    </xf>
    <xf numFmtId="0" fontId="3" fillId="0" borderId="0" xfId="0" applyFont="1" applyFill="1"/>
    <xf numFmtId="44" fontId="3" fillId="0" borderId="0" xfId="0" applyNumberFormat="1" applyFont="1" applyFill="1"/>
    <xf numFmtId="1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2" fontId="3" fillId="0" borderId="19" xfId="0" applyNumberFormat="1" applyFont="1" applyFill="1" applyBorder="1" applyAlignment="1">
      <alignment horizontal="center" vertical="center"/>
    </xf>
    <xf numFmtId="44" fontId="3" fillId="0" borderId="20" xfId="0" applyNumberFormat="1" applyFont="1" applyFill="1" applyBorder="1" applyAlignment="1">
      <alignment horizontal="center" vertical="center"/>
    </xf>
    <xf numFmtId="44" fontId="3" fillId="0" borderId="20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2" fontId="3" fillId="0" borderId="2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2" fontId="3" fillId="0" borderId="21" xfId="0" applyNumberFormat="1" applyFont="1" applyFill="1" applyBorder="1" applyAlignment="1">
      <alignment horizontal="center" vertical="center"/>
    </xf>
    <xf numFmtId="44" fontId="3" fillId="0" borderId="21" xfId="0" applyNumberFormat="1" applyFont="1" applyFill="1" applyBorder="1" applyAlignment="1">
      <alignment horizontal="center" vertical="center"/>
    </xf>
    <xf numFmtId="44" fontId="3" fillId="0" borderId="21" xfId="0" applyNumberFormat="1" applyFont="1" applyFill="1" applyBorder="1" applyAlignment="1">
      <alignment vertical="center"/>
    </xf>
    <xf numFmtId="44" fontId="4" fillId="3" borderId="45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44" fontId="5" fillId="2" borderId="46" xfId="0" applyNumberFormat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44" fontId="3" fillId="0" borderId="50" xfId="1" applyFont="1" applyFill="1" applyBorder="1" applyAlignment="1">
      <alignment vertical="center"/>
    </xf>
    <xf numFmtId="0" fontId="3" fillId="0" borderId="51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44" fontId="3" fillId="0" borderId="53" xfId="1" applyFont="1" applyFill="1" applyBorder="1" applyAlignment="1">
      <alignment vertical="center"/>
    </xf>
    <xf numFmtId="0" fontId="3" fillId="0" borderId="54" xfId="0" applyFont="1" applyFill="1" applyBorder="1" applyAlignment="1">
      <alignment horizontal="left" vertical="center"/>
    </xf>
    <xf numFmtId="2" fontId="3" fillId="0" borderId="55" xfId="0" applyNumberFormat="1" applyFont="1" applyFill="1" applyBorder="1" applyAlignment="1">
      <alignment horizontal="center" vertical="center"/>
    </xf>
    <xf numFmtId="44" fontId="3" fillId="0" borderId="55" xfId="0" applyNumberFormat="1" applyFont="1" applyFill="1" applyBorder="1" applyAlignment="1">
      <alignment horizontal="center" vertical="center"/>
    </xf>
    <xf numFmtId="44" fontId="3" fillId="0" borderId="55" xfId="0" applyNumberFormat="1" applyFont="1" applyFill="1" applyBorder="1" applyAlignment="1">
      <alignment vertical="center"/>
    </xf>
    <xf numFmtId="44" fontId="3" fillId="0" borderId="56" xfId="1" applyFont="1" applyFill="1" applyBorder="1" applyAlignment="1">
      <alignment vertical="center"/>
    </xf>
    <xf numFmtId="10" fontId="4" fillId="0" borderId="9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4" fontId="4" fillId="0" borderId="2" xfId="0" applyNumberFormat="1" applyFont="1" applyBorder="1" applyAlignment="1">
      <alignment vertical="center"/>
    </xf>
    <xf numFmtId="44" fontId="4" fillId="0" borderId="3" xfId="0" applyNumberFormat="1" applyFont="1" applyBorder="1" applyAlignment="1">
      <alignment vertical="center"/>
    </xf>
    <xf numFmtId="44" fontId="4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right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4" fontId="5" fillId="2" borderId="47" xfId="0" applyNumberFormat="1" applyFont="1" applyFill="1" applyBorder="1" applyAlignment="1">
      <alignment horizontal="center" vertical="center" wrapText="1"/>
    </xf>
    <xf numFmtId="44" fontId="5" fillId="2" borderId="0" xfId="0" applyNumberFormat="1" applyFont="1" applyFill="1" applyBorder="1" applyAlignment="1">
      <alignment horizontal="center" vertical="center" wrapText="1"/>
    </xf>
    <xf numFmtId="44" fontId="5" fillId="2" borderId="3" xfId="0" applyNumberFormat="1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44" fontId="5" fillId="2" borderId="58" xfId="0" applyNumberFormat="1" applyFont="1" applyFill="1" applyBorder="1" applyAlignment="1">
      <alignment horizontal="center" vertical="center" wrapText="1"/>
    </xf>
    <xf numFmtId="44" fontId="4" fillId="3" borderId="48" xfId="1" applyFont="1" applyFill="1" applyBorder="1" applyAlignment="1">
      <alignment horizontal="center" vertical="center" wrapText="1"/>
    </xf>
    <xf numFmtId="172" fontId="22" fillId="0" borderId="0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3" fillId="8" borderId="0" xfId="0" applyNumberFormat="1" applyFont="1" applyFill="1" applyBorder="1" applyAlignment="1">
      <alignment horizontal="center" vertical="center"/>
    </xf>
    <xf numFmtId="44" fontId="3" fillId="0" borderId="60" xfId="0" applyNumberFormat="1" applyFont="1" applyBorder="1" applyAlignment="1">
      <alignment horizontal="center" vertical="center"/>
    </xf>
    <xf numFmtId="44" fontId="3" fillId="0" borderId="58" xfId="0" applyNumberFormat="1" applyFont="1" applyBorder="1" applyAlignment="1">
      <alignment horizontal="center" vertical="center"/>
    </xf>
    <xf numFmtId="2" fontId="3" fillId="8" borderId="0" xfId="0" applyNumberFormat="1" applyFont="1" applyFill="1" applyBorder="1" applyAlignment="1">
      <alignment horizontal="center" vertical="center"/>
    </xf>
    <xf numFmtId="2" fontId="3" fillId="8" borderId="62" xfId="0" applyNumberFormat="1" applyFont="1" applyFill="1" applyBorder="1" applyAlignment="1">
      <alignment horizontal="center" vertical="center"/>
    </xf>
    <xf numFmtId="2" fontId="3" fillId="8" borderId="64" xfId="0" applyNumberFormat="1" applyFont="1" applyFill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44" fontId="5" fillId="3" borderId="67" xfId="0" applyNumberFormat="1" applyFont="1" applyFill="1" applyBorder="1" applyAlignment="1">
      <alignment horizontal="center" vertical="center" wrapText="1"/>
    </xf>
    <xf numFmtId="44" fontId="3" fillId="3" borderId="11" xfId="0" applyNumberFormat="1" applyFont="1" applyFill="1" applyBorder="1"/>
    <xf numFmtId="44" fontId="3" fillId="0" borderId="0" xfId="1" applyFont="1" applyFill="1" applyBorder="1" applyAlignment="1">
      <alignment vertical="center"/>
    </xf>
    <xf numFmtId="44" fontId="3" fillId="0" borderId="0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2" fontId="3" fillId="0" borderId="11" xfId="0" applyNumberFormat="1" applyFont="1" applyFill="1" applyBorder="1" applyAlignment="1">
      <alignment horizontal="center" vertical="center"/>
    </xf>
    <xf numFmtId="44" fontId="3" fillId="0" borderId="11" xfId="0" applyNumberFormat="1" applyFont="1" applyFill="1" applyBorder="1" applyAlignment="1">
      <alignment horizontal="center" vertical="center"/>
    </xf>
    <xf numFmtId="10" fontId="3" fillId="0" borderId="11" xfId="0" applyNumberFormat="1" applyFont="1" applyFill="1" applyBorder="1" applyAlignment="1">
      <alignment horizontal="center" vertical="center"/>
    </xf>
    <xf numFmtId="44" fontId="3" fillId="0" borderId="11" xfId="0" applyNumberFormat="1" applyFont="1" applyFill="1" applyBorder="1" applyAlignment="1">
      <alignment vertical="center"/>
    </xf>
    <xf numFmtId="44" fontId="3" fillId="0" borderId="11" xfId="1" applyFont="1" applyFill="1" applyBorder="1" applyAlignment="1">
      <alignment vertical="center"/>
    </xf>
    <xf numFmtId="0" fontId="3" fillId="0" borderId="11" xfId="0" applyFont="1" applyFill="1" applyBorder="1"/>
    <xf numFmtId="44" fontId="3" fillId="0" borderId="11" xfId="0" applyNumberFormat="1" applyFont="1" applyFill="1" applyBorder="1"/>
    <xf numFmtId="0" fontId="3" fillId="3" borderId="11" xfId="0" applyFont="1" applyFill="1" applyBorder="1"/>
    <xf numFmtId="44" fontId="7" fillId="3" borderId="11" xfId="0" applyNumberFormat="1" applyFont="1" applyFill="1" applyBorder="1"/>
    <xf numFmtId="10" fontId="22" fillId="0" borderId="0" xfId="0" applyNumberFormat="1" applyFont="1" applyBorder="1" applyAlignment="1">
      <alignment horizontal="center" vertical="center"/>
    </xf>
    <xf numFmtId="0" fontId="3" fillId="0" borderId="68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left" vertical="center" wrapText="1"/>
    </xf>
    <xf numFmtId="2" fontId="3" fillId="0" borderId="69" xfId="0" applyNumberFormat="1" applyFont="1" applyFill="1" applyBorder="1" applyAlignment="1">
      <alignment horizontal="center" vertical="center"/>
    </xf>
    <xf numFmtId="44" fontId="3" fillId="8" borderId="71" xfId="0" applyNumberFormat="1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3" fillId="0" borderId="72" xfId="0" applyFont="1" applyFill="1" applyBorder="1" applyAlignment="1">
      <alignment horizontal="left" vertical="center" wrapText="1"/>
    </xf>
    <xf numFmtId="0" fontId="3" fillId="0" borderId="73" xfId="0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69" xfId="0" quotePrefix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3" fillId="9" borderId="19" xfId="0" applyNumberFormat="1" applyFont="1" applyFill="1" applyBorder="1" applyAlignment="1">
      <alignment horizontal="center" vertical="center"/>
    </xf>
    <xf numFmtId="10" fontId="4" fillId="9" borderId="9" xfId="0" applyNumberFormat="1" applyFont="1" applyFill="1" applyBorder="1" applyAlignment="1">
      <alignment vertical="center"/>
    </xf>
    <xf numFmtId="44" fontId="3" fillId="9" borderId="20" xfId="0" applyNumberFormat="1" applyFont="1" applyFill="1" applyBorder="1" applyAlignment="1">
      <alignment horizontal="center" vertical="center"/>
    </xf>
    <xf numFmtId="44" fontId="3" fillId="9" borderId="69" xfId="0" applyNumberFormat="1" applyFont="1" applyFill="1" applyBorder="1" applyAlignment="1">
      <alignment horizontal="center" vertical="center"/>
    </xf>
    <xf numFmtId="44" fontId="3" fillId="9" borderId="21" xfId="0" applyNumberFormat="1" applyFont="1" applyFill="1" applyBorder="1" applyAlignment="1">
      <alignment horizontal="center" vertical="center"/>
    </xf>
    <xf numFmtId="44" fontId="3" fillId="9" borderId="55" xfId="0" applyNumberFormat="1" applyFont="1" applyFill="1" applyBorder="1" applyAlignment="1">
      <alignment horizontal="center" vertical="center"/>
    </xf>
    <xf numFmtId="164" fontId="3" fillId="9" borderId="0" xfId="0" applyNumberFormat="1" applyFont="1" applyFill="1" applyAlignment="1">
      <alignment horizontal="right"/>
    </xf>
    <xf numFmtId="0" fontId="4" fillId="0" borderId="59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9" fontId="10" fillId="0" borderId="24" xfId="2" applyNumberFormat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0" fontId="19" fillId="0" borderId="38" xfId="6" applyNumberFormat="1" applyFont="1" applyBorder="1" applyAlignment="1">
      <alignment horizontal="left"/>
    </xf>
    <xf numFmtId="0" fontId="12" fillId="0" borderId="0" xfId="5" applyFont="1" applyBorder="1" applyAlignment="1" applyProtection="1">
      <alignment horizontal="left" vertical="center"/>
    </xf>
    <xf numFmtId="10" fontId="19" fillId="0" borderId="26" xfId="6" applyNumberFormat="1" applyFont="1" applyBorder="1" applyAlignment="1">
      <alignment horizontal="left"/>
    </xf>
    <xf numFmtId="0" fontId="19" fillId="0" borderId="24" xfId="6" applyFont="1" applyBorder="1" applyAlignment="1">
      <alignment horizontal="center" wrapText="1"/>
    </xf>
    <xf numFmtId="0" fontId="20" fillId="0" borderId="32" xfId="6" applyFont="1" applyBorder="1" applyAlignment="1">
      <alignment horizontal="center" vertical="center" wrapText="1"/>
    </xf>
    <xf numFmtId="168" fontId="10" fillId="0" borderId="34" xfId="7" applyFont="1" applyFill="1" applyBorder="1" applyAlignment="1" applyProtection="1">
      <alignment horizontal="center" vertical="center" wrapText="1"/>
    </xf>
    <xf numFmtId="0" fontId="0" fillId="0" borderId="26" xfId="5" applyFont="1" applyBorder="1" applyAlignment="1" applyProtection="1">
      <alignment horizontal="left" vertical="center"/>
    </xf>
    <xf numFmtId="166" fontId="0" fillId="0" borderId="25" xfId="5" applyNumberFormat="1" applyFont="1" applyFill="1" applyBorder="1" applyAlignment="1" applyProtection="1">
      <alignment horizontal="left"/>
    </xf>
    <xf numFmtId="164" fontId="0" fillId="0" borderId="25" xfId="5" applyNumberFormat="1" applyFont="1" applyFill="1" applyBorder="1" applyAlignment="1" applyProtection="1">
      <alignment horizontal="left"/>
    </xf>
    <xf numFmtId="0" fontId="10" fillId="0" borderId="0" xfId="5" applyFont="1" applyBorder="1" applyAlignment="1" applyProtection="1">
      <alignment horizontal="left" vertical="center"/>
    </xf>
    <xf numFmtId="0" fontId="9" fillId="0" borderId="24" xfId="5" applyFont="1" applyFill="1" applyBorder="1" applyAlignment="1" applyProtection="1">
      <alignment horizontal="left"/>
    </xf>
    <xf numFmtId="10" fontId="9" fillId="4" borderId="24" xfId="5" applyNumberFormat="1" applyFont="1" applyFill="1" applyBorder="1" applyAlignment="1" applyProtection="1">
      <alignment horizontal="center"/>
      <protection locked="0"/>
    </xf>
    <xf numFmtId="0" fontId="10" fillId="0" borderId="22" xfId="3" applyFont="1" applyBorder="1" applyAlignment="1" applyProtection="1">
      <alignment horizontal="left" vertical="top"/>
    </xf>
    <xf numFmtId="0" fontId="9" fillId="0" borderId="23" xfId="4" applyNumberFormat="1" applyFont="1" applyFill="1" applyBorder="1" applyAlignment="1" applyProtection="1">
      <alignment horizontal="left" wrapText="1"/>
    </xf>
    <xf numFmtId="0" fontId="9" fillId="0" borderId="24" xfId="5" applyFont="1" applyFill="1" applyBorder="1" applyAlignment="1" applyProtection="1">
      <alignment horizontal="left" wrapText="1"/>
    </xf>
    <xf numFmtId="0" fontId="11" fillId="0" borderId="24" xfId="5" applyFont="1" applyBorder="1" applyAlignment="1" applyProtection="1">
      <alignment horizontal="center"/>
    </xf>
    <xf numFmtId="165" fontId="9" fillId="5" borderId="23" xfId="4" applyFont="1" applyFill="1" applyBorder="1" applyAlignment="1" applyProtection="1">
      <alignment horizontal="left"/>
      <protection locked="0"/>
    </xf>
    <xf numFmtId="0" fontId="12" fillId="0" borderId="27" xfId="5" applyFont="1" applyBorder="1" applyAlignment="1" applyProtection="1">
      <alignment horizontal="center" vertical="center"/>
    </xf>
    <xf numFmtId="0" fontId="12" fillId="0" borderId="26" xfId="5" applyFont="1" applyBorder="1" applyAlignment="1" applyProtection="1">
      <alignment horizontal="center" vertical="center"/>
    </xf>
    <xf numFmtId="0" fontId="12" fillId="0" borderId="28" xfId="5" applyFont="1" applyBorder="1" applyAlignment="1" applyProtection="1">
      <alignment horizontal="center" vertical="center"/>
    </xf>
    <xf numFmtId="0" fontId="12" fillId="0" borderId="29" xfId="5" applyFont="1" applyBorder="1" applyAlignment="1" applyProtection="1">
      <alignment horizontal="center" vertical="center"/>
    </xf>
    <xf numFmtId="0" fontId="12" fillId="0" borderId="25" xfId="5" applyFont="1" applyBorder="1" applyAlignment="1" applyProtection="1">
      <alignment horizontal="center" vertical="center"/>
    </xf>
    <xf numFmtId="0" fontId="12" fillId="0" borderId="30" xfId="5" applyFont="1" applyBorder="1" applyAlignment="1" applyProtection="1">
      <alignment horizontal="center" vertical="center"/>
    </xf>
    <xf numFmtId="0" fontId="12" fillId="0" borderId="31" xfId="5" applyFont="1" applyBorder="1" applyAlignment="1" applyProtection="1">
      <alignment horizontal="center" vertical="center"/>
    </xf>
    <xf numFmtId="0" fontId="12" fillId="0" borderId="23" xfId="5" applyFont="1" applyBorder="1" applyAlignment="1" applyProtection="1">
      <alignment horizontal="center" vertical="center"/>
    </xf>
    <xf numFmtId="4" fontId="12" fillId="0" borderId="31" xfId="5" applyNumberFormat="1" applyFont="1" applyFill="1" applyBorder="1" applyAlignment="1" applyProtection="1">
      <alignment horizontal="center" vertical="center" wrapText="1"/>
    </xf>
    <xf numFmtId="4" fontId="12" fillId="0" borderId="23" xfId="5" applyNumberFormat="1" applyFont="1" applyFill="1" applyBorder="1" applyAlignment="1" applyProtection="1">
      <alignment horizontal="center" vertical="center" wrapText="1"/>
    </xf>
    <xf numFmtId="0" fontId="0" fillId="0" borderId="32" xfId="5" applyFont="1" applyBorder="1" applyAlignment="1" applyProtection="1">
      <alignment horizontal="center" vertical="center" wrapText="1"/>
    </xf>
    <xf numFmtId="0" fontId="0" fillId="0" borderId="33" xfId="5" applyFont="1" applyBorder="1" applyAlignment="1" applyProtection="1">
      <alignment horizontal="center" vertical="center" wrapText="1"/>
    </xf>
    <xf numFmtId="0" fontId="0" fillId="0" borderId="34" xfId="5" applyFont="1" applyBorder="1" applyAlignment="1" applyProtection="1">
      <alignment horizontal="center" vertical="center" wrapText="1"/>
    </xf>
    <xf numFmtId="0" fontId="10" fillId="0" borderId="24" xfId="5" applyFont="1" applyFill="1" applyBorder="1" applyAlignment="1" applyProtection="1">
      <alignment horizontal="center" vertical="center"/>
    </xf>
    <xf numFmtId="0" fontId="12" fillId="0" borderId="3" xfId="5" applyFont="1" applyBorder="1" applyAlignment="1" applyProtection="1">
      <alignment horizontal="left" vertical="center"/>
    </xf>
    <xf numFmtId="0" fontId="0" fillId="0" borderId="0" xfId="5" applyFont="1" applyBorder="1" applyAlignment="1" applyProtection="1">
      <alignment horizontal="left" vertical="center"/>
    </xf>
    <xf numFmtId="0" fontId="13" fillId="6" borderId="24" xfId="5" applyFont="1" applyFill="1" applyBorder="1" applyAlignment="1" applyProtection="1">
      <alignment horizontal="center" vertical="center" wrapText="1"/>
    </xf>
    <xf numFmtId="0" fontId="0" fillId="0" borderId="0" xfId="5" applyFont="1" applyAlignment="1" applyProtection="1">
      <alignment wrapText="1"/>
    </xf>
    <xf numFmtId="0" fontId="15" fillId="0" borderId="0" xfId="0" applyFont="1" applyBorder="1" applyAlignment="1" applyProtection="1">
      <alignment horizontal="center" vertical="top"/>
    </xf>
    <xf numFmtId="0" fontId="0" fillId="0" borderId="0" xfId="5" applyFont="1" applyBorder="1" applyAlignment="1" applyProtection="1">
      <alignment horizontal="center" vertical="center"/>
    </xf>
    <xf numFmtId="0" fontId="17" fillId="0" borderId="0" xfId="5" applyFont="1" applyBorder="1" applyAlignment="1" applyProtection="1">
      <alignment horizontal="center" vertical="top"/>
    </xf>
    <xf numFmtId="0" fontId="1" fillId="0" borderId="0" xfId="5" applyFont="1" applyBorder="1" applyAlignment="1" applyProtection="1">
      <alignment horizontal="left" vertical="center"/>
    </xf>
    <xf numFmtId="0" fontId="0" fillId="0" borderId="0" xfId="5" applyFont="1" applyBorder="1" applyAlignment="1" applyProtection="1">
      <alignment horizontal="center" vertical="top"/>
    </xf>
    <xf numFmtId="0" fontId="9" fillId="0" borderId="24" xfId="5" applyFont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26" xfId="6" applyFont="1" applyBorder="1" applyAlignment="1">
      <alignment horizontal="center" vertical="center" wrapText="1"/>
    </xf>
    <xf numFmtId="0" fontId="20" fillId="0" borderId="25" xfId="6" applyFont="1" applyBorder="1" applyAlignment="1">
      <alignment horizontal="center" vertical="center" wrapText="1"/>
    </xf>
  </cellXfs>
  <cellStyles count="9">
    <cellStyle name="Moeda" xfId="1" builtinId="4"/>
    <cellStyle name="Moeda_Composicao BDI v2.1" xfId="4"/>
    <cellStyle name="Normal" xfId="0" builtinId="0"/>
    <cellStyle name="Normal 2" xfId="5"/>
    <cellStyle name="Normal 2 2" xfId="8"/>
    <cellStyle name="Normal 3" xfId="6"/>
    <cellStyle name="Normal_FICHA DE VERIFICAÇÃO PRELIMINAR - Plano R" xfId="3"/>
    <cellStyle name="Vírgula" xfId="2" builtinId="3"/>
    <cellStyle name="Vírgula 2" xfId="7"/>
  </cellStyles>
  <dxfs count="26"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 style="thin">
          <color indexed="64"/>
        </top>
        <bottom/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 style="thin">
          <color indexed="64"/>
        </top>
        <bottom/>
      </border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LHADO/Obras/_Pavimenta&#231;&#245;es%202023%20Etapa%2002/Pavimenta&#231;&#227;o%20Asf&#225;ltica%20-%20Rua%20XV%20de%20Novembro/PLANILHA%20M&#218;LTIPLA%20V3.0.5%20V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PLANILHA MÚLTIPLA V3.0.5 V03"/>
    </sheetNames>
    <sheetDataSet>
      <sheetData sheetId="0">
        <row r="3">
          <cell r="O3">
            <v>1</v>
          </cell>
        </row>
      </sheetData>
      <sheetData sheetId="1">
        <row r="6">
          <cell r="F6" t="str">
            <v>RIO DAS ANTAS/SC</v>
          </cell>
        </row>
        <row r="16">
          <cell r="F16" t="str">
            <v>PAVIMENTAÇÃO ASFÁLTICA EM CBUQ SOBRE PEDRAS POLIÉDRICAS - RUA XV DE NOVEMBRO</v>
          </cell>
        </row>
        <row r="17">
          <cell r="F17" t="str">
            <v>PAVIMENTAÇÃO ASFÁLTICA EM CBUQ SOBRE PEDRAS POLIÉDRICAS - RUA XV DE NOVEMBRO</v>
          </cell>
        </row>
        <row r="18">
          <cell r="F18" t="str">
            <v>(SELECIONAR)</v>
          </cell>
        </row>
        <row r="22">
          <cell r="F22" t="str">
            <v>GUSTAVO OLINQUEVICZ</v>
          </cell>
        </row>
        <row r="23">
          <cell r="F23" t="str">
            <v>188.144-0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2"/>
  <sheetViews>
    <sheetView tabSelected="1" topLeftCell="A52" zoomScaleNormal="100" workbookViewId="0">
      <selection activeCell="V58" sqref="V58"/>
    </sheetView>
  </sheetViews>
  <sheetFormatPr defaultRowHeight="12" x14ac:dyDescent="0.2"/>
  <cols>
    <col min="1" max="1" width="6.85546875" style="1" customWidth="1"/>
    <col min="2" max="2" width="10.85546875" style="17" bestFit="1" customWidth="1"/>
    <col min="3" max="3" width="8.28515625" style="1" customWidth="1"/>
    <col min="4" max="4" width="69.28515625" style="1" customWidth="1"/>
    <col min="5" max="5" width="9.140625" style="1"/>
    <col min="6" max="6" width="9.28515625" style="1" bestFit="1" customWidth="1"/>
    <col min="7" max="7" width="12.85546875" style="1" customWidth="1"/>
    <col min="8" max="8" width="5.7109375" style="17" customWidth="1"/>
    <col min="9" max="9" width="11.7109375" style="1" bestFit="1" customWidth="1"/>
    <col min="10" max="10" width="15" style="1" bestFit="1" customWidth="1"/>
    <col min="11" max="11" width="9.7109375" style="1" hidden="1" customWidth="1"/>
    <col min="12" max="12" width="8.85546875" style="1" hidden="1" customWidth="1"/>
    <col min="13" max="13" width="10.5703125" style="1" hidden="1" customWidth="1"/>
    <col min="14" max="14" width="9.7109375" style="1" hidden="1" customWidth="1"/>
    <col min="15" max="15" width="8.85546875" style="1" hidden="1" customWidth="1"/>
    <col min="16" max="16" width="10.5703125" style="1" hidden="1" customWidth="1"/>
    <col min="17" max="17" width="6.140625" style="1" hidden="1" customWidth="1"/>
    <col min="18" max="18" width="6.28515625" style="1" hidden="1" customWidth="1"/>
    <col min="19" max="16384" width="9.140625" style="1"/>
  </cols>
  <sheetData>
    <row r="1" spans="1:16" ht="15" customHeight="1" x14ac:dyDescent="0.2">
      <c r="A1" s="127"/>
      <c r="B1" s="128"/>
      <c r="C1" s="128"/>
      <c r="D1" s="194" t="s">
        <v>250</v>
      </c>
      <c r="E1" s="194"/>
      <c r="F1" s="194"/>
      <c r="G1" s="194"/>
      <c r="H1" s="194"/>
      <c r="I1" s="194"/>
      <c r="J1" s="195"/>
    </row>
    <row r="2" spans="1:16" ht="50.25" customHeight="1" thickBot="1" x14ac:dyDescent="0.25">
      <c r="A2" s="129"/>
      <c r="B2" s="130"/>
      <c r="C2" s="130"/>
      <c r="D2" s="196"/>
      <c r="E2" s="196"/>
      <c r="F2" s="196"/>
      <c r="G2" s="196"/>
      <c r="H2" s="196"/>
      <c r="I2" s="196"/>
      <c r="J2" s="197"/>
    </row>
    <row r="3" spans="1:16" x14ac:dyDescent="0.2">
      <c r="A3" s="198" t="s">
        <v>4</v>
      </c>
      <c r="B3" s="199"/>
      <c r="C3" s="199"/>
      <c r="D3" s="200"/>
      <c r="E3" s="5" t="s">
        <v>6</v>
      </c>
      <c r="F3" s="7"/>
      <c r="G3" s="7"/>
      <c r="H3" s="18"/>
      <c r="I3" s="7"/>
      <c r="J3" s="8"/>
    </row>
    <row r="4" spans="1:16" x14ac:dyDescent="0.2">
      <c r="A4" s="201" t="s">
        <v>5</v>
      </c>
      <c r="B4" s="202"/>
      <c r="C4" s="202"/>
      <c r="D4" s="203"/>
      <c r="E4" s="9" t="s">
        <v>92</v>
      </c>
      <c r="F4" s="10"/>
      <c r="G4" s="10"/>
      <c r="H4" s="18"/>
      <c r="I4" s="10"/>
      <c r="J4" s="11"/>
    </row>
    <row r="5" spans="1:16" x14ac:dyDescent="0.2">
      <c r="A5" s="12" t="s">
        <v>7</v>
      </c>
      <c r="B5" s="21"/>
      <c r="C5" s="13"/>
      <c r="D5" s="14"/>
      <c r="E5" s="12" t="s">
        <v>93</v>
      </c>
      <c r="F5" s="13"/>
      <c r="G5" s="13"/>
      <c r="H5" s="19" t="s">
        <v>8</v>
      </c>
      <c r="I5" s="13"/>
      <c r="J5" s="14"/>
    </row>
    <row r="6" spans="1:16" x14ac:dyDescent="0.2">
      <c r="A6" s="204" t="s">
        <v>233</v>
      </c>
      <c r="B6" s="205"/>
      <c r="C6" s="205"/>
      <c r="D6" s="206"/>
      <c r="E6" s="201" t="s">
        <v>231</v>
      </c>
      <c r="F6" s="202"/>
      <c r="G6" s="202"/>
      <c r="H6" s="20"/>
      <c r="I6" s="7" t="s">
        <v>17</v>
      </c>
      <c r="J6" s="184">
        <v>0.21049999999999999</v>
      </c>
    </row>
    <row r="7" spans="1:16" x14ac:dyDescent="0.2">
      <c r="A7" s="204"/>
      <c r="B7" s="205"/>
      <c r="C7" s="205"/>
      <c r="D7" s="206"/>
      <c r="E7" s="12" t="s">
        <v>9</v>
      </c>
      <c r="F7" s="13"/>
      <c r="G7" s="14"/>
      <c r="H7" s="18"/>
      <c r="I7" s="15"/>
      <c r="J7" s="118"/>
    </row>
    <row r="8" spans="1:16" x14ac:dyDescent="0.2">
      <c r="A8" s="9"/>
      <c r="B8" s="22"/>
      <c r="C8" s="10"/>
      <c r="D8" s="11"/>
      <c r="E8" s="24">
        <v>45261</v>
      </c>
      <c r="F8" s="26" t="s">
        <v>23</v>
      </c>
      <c r="G8" s="27"/>
      <c r="H8" s="20"/>
      <c r="I8" s="25"/>
      <c r="J8" s="8"/>
    </row>
    <row r="9" spans="1:16" x14ac:dyDescent="0.2">
      <c r="A9" s="12" t="s">
        <v>10</v>
      </c>
      <c r="B9" s="21"/>
      <c r="C9" s="13"/>
      <c r="D9" s="174" t="s">
        <v>97</v>
      </c>
      <c r="E9" s="13" t="s">
        <v>98</v>
      </c>
      <c r="F9" s="13"/>
      <c r="G9" s="14" t="s">
        <v>40</v>
      </c>
      <c r="H9" s="119"/>
      <c r="I9" s="120"/>
      <c r="J9" s="121"/>
    </row>
    <row r="10" spans="1:16" x14ac:dyDescent="0.2">
      <c r="A10" s="16" t="s">
        <v>94</v>
      </c>
      <c r="B10" s="22"/>
      <c r="C10" s="10"/>
      <c r="D10" s="9" t="s">
        <v>40</v>
      </c>
      <c r="E10" s="10" t="s">
        <v>99</v>
      </c>
      <c r="F10" s="10"/>
      <c r="G10" s="11" t="s">
        <v>40</v>
      </c>
      <c r="H10" s="122"/>
      <c r="I10" s="123"/>
      <c r="J10" s="124"/>
    </row>
    <row r="11" spans="1:16" x14ac:dyDescent="0.2">
      <c r="A11" s="83"/>
      <c r="B11" s="84"/>
      <c r="C11" s="25"/>
      <c r="D11" s="25"/>
      <c r="E11" s="25"/>
      <c r="F11" s="25"/>
      <c r="G11" s="25"/>
      <c r="H11" s="85"/>
      <c r="I11" s="85"/>
      <c r="J11" s="85"/>
    </row>
    <row r="12" spans="1:16" ht="12.75" thickBot="1" x14ac:dyDescent="0.25">
      <c r="A12" s="83"/>
      <c r="B12" s="84"/>
      <c r="C12" s="25"/>
      <c r="D12" s="25"/>
      <c r="E12" s="25"/>
      <c r="F12" s="25"/>
      <c r="G12" s="25"/>
      <c r="H12" s="85"/>
      <c r="I12" s="85"/>
      <c r="J12" s="85"/>
    </row>
    <row r="13" spans="1:16" ht="12.75" thickBot="1" x14ac:dyDescent="0.25">
      <c r="A13" s="7"/>
      <c r="B13" s="18"/>
      <c r="C13" s="7"/>
      <c r="D13" s="7"/>
      <c r="E13" s="7"/>
      <c r="F13" s="7"/>
      <c r="G13" s="7"/>
      <c r="H13" s="18"/>
      <c r="I13" s="7"/>
      <c r="J13" s="7"/>
      <c r="K13" s="190" t="s">
        <v>87</v>
      </c>
      <c r="L13" s="191"/>
      <c r="M13" s="192"/>
      <c r="N13" s="190" t="s">
        <v>91</v>
      </c>
      <c r="O13" s="191"/>
      <c r="P13" s="192"/>
    </row>
    <row r="14" spans="1:16" ht="36.75" thickBot="1" x14ac:dyDescent="0.25">
      <c r="A14" s="104" t="s">
        <v>0</v>
      </c>
      <c r="B14" s="104" t="s">
        <v>2</v>
      </c>
      <c r="C14" s="104" t="s">
        <v>3</v>
      </c>
      <c r="D14" s="104" t="s">
        <v>1</v>
      </c>
      <c r="E14" s="104" t="s">
        <v>12</v>
      </c>
      <c r="F14" s="105" t="s">
        <v>95</v>
      </c>
      <c r="G14" s="105" t="s">
        <v>13</v>
      </c>
      <c r="H14" s="105" t="s">
        <v>16</v>
      </c>
      <c r="I14" s="105" t="s">
        <v>14</v>
      </c>
      <c r="J14" s="105" t="s">
        <v>96</v>
      </c>
      <c r="K14" s="105" t="s">
        <v>88</v>
      </c>
      <c r="L14" s="105" t="s">
        <v>89</v>
      </c>
      <c r="M14" s="105" t="s">
        <v>90</v>
      </c>
      <c r="N14" s="105" t="s">
        <v>88</v>
      </c>
      <c r="O14" s="105" t="s">
        <v>89</v>
      </c>
      <c r="P14" s="105" t="s">
        <v>90</v>
      </c>
    </row>
    <row r="15" spans="1:16" x14ac:dyDescent="0.2">
      <c r="A15" s="106"/>
      <c r="B15" s="100"/>
      <c r="C15" s="100"/>
      <c r="D15" s="101" t="s">
        <v>100</v>
      </c>
      <c r="E15" s="100"/>
      <c r="F15" s="100"/>
      <c r="G15" s="102"/>
      <c r="H15" s="102"/>
      <c r="I15" s="102"/>
      <c r="J15" s="103"/>
      <c r="K15" s="131"/>
      <c r="L15" s="133"/>
      <c r="M15" s="103"/>
      <c r="N15" s="132"/>
      <c r="O15" s="132"/>
      <c r="P15" s="135"/>
    </row>
    <row r="16" spans="1:16" x14ac:dyDescent="0.2">
      <c r="A16" s="107">
        <v>1</v>
      </c>
      <c r="B16" s="2"/>
      <c r="C16" s="2"/>
      <c r="D16" s="3" t="s">
        <v>25</v>
      </c>
      <c r="E16" s="2"/>
      <c r="F16" s="2"/>
      <c r="G16" s="4"/>
      <c r="H16" s="4"/>
      <c r="I16" s="4"/>
      <c r="J16" s="99">
        <f>SUM(J17:J21)</f>
        <v>9858.14</v>
      </c>
      <c r="K16" s="136"/>
      <c r="L16" s="134"/>
      <c r="M16" s="99"/>
      <c r="N16" s="134"/>
      <c r="O16" s="134"/>
      <c r="P16" s="99"/>
    </row>
    <row r="17" spans="1:23" s="6" customFormat="1" ht="12.75" x14ac:dyDescent="0.2">
      <c r="A17" s="108" t="s">
        <v>206</v>
      </c>
      <c r="B17" s="86" t="s">
        <v>11</v>
      </c>
      <c r="C17" s="86" t="s">
        <v>130</v>
      </c>
      <c r="D17" s="87" t="s">
        <v>103</v>
      </c>
      <c r="E17" s="91" t="s">
        <v>15</v>
      </c>
      <c r="F17" s="88">
        <v>4.5</v>
      </c>
      <c r="G17" s="183">
        <v>314.92</v>
      </c>
      <c r="H17" s="89" t="s">
        <v>17</v>
      </c>
      <c r="I17" s="90">
        <f>ROUND($G17*(1+(IF($H17=$I$6,$J$6,IF($H17=$I$7,$J$7,0)))),2)</f>
        <v>381.21</v>
      </c>
      <c r="J17" s="109">
        <f>ROUND(F17*I17,2)</f>
        <v>1715.45</v>
      </c>
      <c r="K17" s="138"/>
      <c r="L17" s="146"/>
      <c r="M17" s="149">
        <f>K17+L17</f>
        <v>0</v>
      </c>
      <c r="N17" s="141"/>
      <c r="O17" s="143"/>
      <c r="P17" s="144">
        <f t="shared" ref="P17:P20" si="0">N17+O17</f>
        <v>0</v>
      </c>
      <c r="Q17" s="1" t="e">
        <f>IF(M17&gt;=#REF!, "OK", IF(P17=0, "Não iniciado", "Incompleto"))</f>
        <v>#REF!</v>
      </c>
      <c r="R17" s="137" t="e">
        <f>M17/#REF!</f>
        <v>#REF!</v>
      </c>
      <c r="S17" s="1"/>
      <c r="T17" s="1"/>
    </row>
    <row r="18" spans="1:23" s="6" customFormat="1" ht="12.75" x14ac:dyDescent="0.2">
      <c r="A18" s="110" t="s">
        <v>207</v>
      </c>
      <c r="B18" s="91" t="s">
        <v>105</v>
      </c>
      <c r="C18" s="91" t="s">
        <v>40</v>
      </c>
      <c r="D18" s="92" t="s">
        <v>104</v>
      </c>
      <c r="E18" s="91" t="s">
        <v>19</v>
      </c>
      <c r="F18" s="93">
        <v>1</v>
      </c>
      <c r="G18" s="185">
        <v>262.55</v>
      </c>
      <c r="H18" s="89" t="s">
        <v>17</v>
      </c>
      <c r="I18" s="90">
        <f t="shared" ref="I18:I65" si="1">ROUND($G18*(1+(IF($H18=$I$6,$J$6,IF($H18=$I$7,$J$7,0)))),2)</f>
        <v>317.82</v>
      </c>
      <c r="J18" s="109">
        <f>ROUND(F18*I18,2)</f>
        <v>317.82</v>
      </c>
      <c r="K18" s="138"/>
      <c r="L18" s="147"/>
      <c r="M18" s="139"/>
      <c r="N18" s="142"/>
      <c r="O18" s="143"/>
      <c r="P18" s="145">
        <f t="shared" si="0"/>
        <v>0</v>
      </c>
      <c r="Q18" s="1" t="e">
        <f>IF(M18&gt;=#REF!, "OK", IF(P18=0, "Não iniciado", "Incompleto"))</f>
        <v>#REF!</v>
      </c>
      <c r="R18" s="137" t="e">
        <f>M18/#REF!</f>
        <v>#REF!</v>
      </c>
      <c r="S18" s="1"/>
      <c r="T18" s="1"/>
    </row>
    <row r="19" spans="1:23" s="6" customFormat="1" ht="22.5" x14ac:dyDescent="0.2">
      <c r="A19" s="110" t="s">
        <v>208</v>
      </c>
      <c r="B19" s="91" t="s">
        <v>129</v>
      </c>
      <c r="C19" s="181" t="s">
        <v>230</v>
      </c>
      <c r="D19" s="92" t="s">
        <v>106</v>
      </c>
      <c r="E19" s="91" t="s">
        <v>19</v>
      </c>
      <c r="F19" s="93">
        <v>1</v>
      </c>
      <c r="G19" s="185">
        <v>4399.7519999999995</v>
      </c>
      <c r="H19" s="89" t="s">
        <v>17</v>
      </c>
      <c r="I19" s="90">
        <f t="shared" si="1"/>
        <v>5325.9</v>
      </c>
      <c r="J19" s="109">
        <f>ROUND(F19*I19,2)</f>
        <v>5325.9</v>
      </c>
      <c r="K19" s="140"/>
      <c r="L19" s="148"/>
      <c r="M19" s="149">
        <f>K19+L19</f>
        <v>0</v>
      </c>
      <c r="N19" s="142"/>
      <c r="O19" s="143"/>
      <c r="P19" s="145">
        <f t="shared" si="0"/>
        <v>0</v>
      </c>
      <c r="Q19" s="1" t="e">
        <f>IF(M19&gt;=#REF!, "OK", IF(P19=0, "Não iniciado", "Incompleto"))</f>
        <v>#REF!</v>
      </c>
      <c r="R19" s="137" t="e">
        <f>M19/#REF!</f>
        <v>#REF!</v>
      </c>
    </row>
    <row r="20" spans="1:23" s="6" customFormat="1" ht="22.5" x14ac:dyDescent="0.2">
      <c r="A20" s="110" t="s">
        <v>209</v>
      </c>
      <c r="B20" s="91" t="s">
        <v>129</v>
      </c>
      <c r="C20" s="181" t="s">
        <v>229</v>
      </c>
      <c r="D20" s="92" t="s">
        <v>107</v>
      </c>
      <c r="E20" s="91" t="s">
        <v>19</v>
      </c>
      <c r="F20" s="93">
        <v>1</v>
      </c>
      <c r="G20" s="185">
        <v>411.40449999999998</v>
      </c>
      <c r="H20" s="89" t="s">
        <v>17</v>
      </c>
      <c r="I20" s="90">
        <f t="shared" si="1"/>
        <v>498.01</v>
      </c>
      <c r="J20" s="109">
        <f>ROUND(F20*I20,2)</f>
        <v>498.01</v>
      </c>
      <c r="K20" s="138"/>
      <c r="L20" s="146"/>
      <c r="M20" s="149">
        <f>K20+L20</f>
        <v>0</v>
      </c>
      <c r="N20" s="142"/>
      <c r="O20" s="143"/>
      <c r="P20" s="145">
        <f t="shared" si="0"/>
        <v>0</v>
      </c>
      <c r="Q20" s="1" t="e">
        <f>IF(M20&gt;=#REF!, "OK", IF(P20=0, "Não iniciado", "Incompleto"))</f>
        <v>#REF!</v>
      </c>
      <c r="R20" s="137" t="e">
        <f>M20/#REF!</f>
        <v>#REF!</v>
      </c>
    </row>
    <row r="21" spans="1:23" s="6" customFormat="1" ht="12.75" x14ac:dyDescent="0.2">
      <c r="A21" s="110" t="s">
        <v>245</v>
      </c>
      <c r="B21" s="91" t="s">
        <v>125</v>
      </c>
      <c r="C21" s="181"/>
      <c r="D21" s="92" t="s">
        <v>243</v>
      </c>
      <c r="E21" s="91" t="s">
        <v>244</v>
      </c>
      <c r="F21" s="93">
        <v>1</v>
      </c>
      <c r="G21" s="185">
        <v>1653</v>
      </c>
      <c r="H21" s="89" t="s">
        <v>17</v>
      </c>
      <c r="I21" s="90">
        <f t="shared" si="1"/>
        <v>2000.96</v>
      </c>
      <c r="J21" s="109">
        <f>ROUND(F21*I21,2)</f>
        <v>2000.96</v>
      </c>
      <c r="K21" s="138"/>
      <c r="L21" s="146"/>
      <c r="M21" s="149"/>
      <c r="N21" s="142"/>
      <c r="O21" s="143"/>
      <c r="P21" s="145"/>
      <c r="Q21" s="1"/>
      <c r="R21" s="137"/>
    </row>
    <row r="22" spans="1:23" s="6" customFormat="1" ht="12.75" x14ac:dyDescent="0.2">
      <c r="A22" s="107">
        <v>2</v>
      </c>
      <c r="B22" s="2"/>
      <c r="C22" s="2"/>
      <c r="D22" s="3" t="s">
        <v>109</v>
      </c>
      <c r="E22" s="2"/>
      <c r="F22" s="2"/>
      <c r="G22" s="4"/>
      <c r="H22" s="4"/>
      <c r="I22" s="4"/>
      <c r="J22" s="99">
        <f>SUM(J23:J30)</f>
        <v>3655.29</v>
      </c>
      <c r="K22" s="138"/>
      <c r="L22" s="146"/>
      <c r="M22" s="149"/>
      <c r="N22" s="142"/>
      <c r="O22" s="143"/>
      <c r="P22" s="145"/>
      <c r="Q22" s="1"/>
      <c r="R22" s="137"/>
    </row>
    <row r="23" spans="1:23" s="6" customFormat="1" ht="12.75" x14ac:dyDescent="0.2">
      <c r="A23" s="167" t="s">
        <v>115</v>
      </c>
      <c r="B23" s="172" t="s">
        <v>125</v>
      </c>
      <c r="C23" s="168">
        <v>42554</v>
      </c>
      <c r="D23" s="169" t="s">
        <v>128</v>
      </c>
      <c r="E23" s="168" t="s">
        <v>15</v>
      </c>
      <c r="F23" s="170">
        <v>62.37</v>
      </c>
      <c r="G23" s="186">
        <v>1.93</v>
      </c>
      <c r="H23" s="97" t="s">
        <v>17</v>
      </c>
      <c r="I23" s="98">
        <f t="shared" si="1"/>
        <v>2.34</v>
      </c>
      <c r="J23" s="112">
        <f t="shared" ref="J23:J30" si="2">ROUND(F23*I23,2)</f>
        <v>145.94999999999999</v>
      </c>
      <c r="K23" s="138"/>
      <c r="L23" s="146"/>
      <c r="M23" s="149"/>
      <c r="N23" s="142"/>
      <c r="O23" s="143"/>
      <c r="P23" s="145"/>
      <c r="Q23" s="1"/>
      <c r="R23" s="137"/>
      <c r="U23" s="6">
        <f>ROUND((1088.312/852.809)*1.51,2)</f>
        <v>1.93</v>
      </c>
      <c r="V23" s="6">
        <f>(24.1+24.1)*1.05+(4.2+4.2)*1.4</f>
        <v>62.370000000000005</v>
      </c>
      <c r="W23" s="6" t="s">
        <v>170</v>
      </c>
    </row>
    <row r="24" spans="1:23" s="6" customFormat="1" ht="22.5" x14ac:dyDescent="0.2">
      <c r="A24" s="167" t="s">
        <v>118</v>
      </c>
      <c r="B24" s="172" t="s">
        <v>11</v>
      </c>
      <c r="C24" s="168" t="s">
        <v>114</v>
      </c>
      <c r="D24" s="169" t="s">
        <v>112</v>
      </c>
      <c r="E24" s="168" t="s">
        <v>113</v>
      </c>
      <c r="F24" s="170">
        <v>0.11</v>
      </c>
      <c r="G24" s="186">
        <v>60.68</v>
      </c>
      <c r="H24" s="97" t="s">
        <v>17</v>
      </c>
      <c r="I24" s="98">
        <f t="shared" si="1"/>
        <v>73.45</v>
      </c>
      <c r="J24" s="112">
        <f t="shared" si="2"/>
        <v>8.08</v>
      </c>
      <c r="K24" s="138"/>
      <c r="L24" s="146"/>
      <c r="M24" s="149"/>
      <c r="N24" s="142"/>
      <c r="O24" s="143"/>
      <c r="P24" s="145"/>
      <c r="Q24" s="1"/>
      <c r="R24" s="137"/>
      <c r="V24" s="6">
        <f>0.6*0.15*1.15</f>
        <v>0.10349999999999999</v>
      </c>
    </row>
    <row r="25" spans="1:23" s="6" customFormat="1" ht="22.5" x14ac:dyDescent="0.2">
      <c r="A25" s="167" t="s">
        <v>120</v>
      </c>
      <c r="B25" s="172" t="s">
        <v>11</v>
      </c>
      <c r="C25" s="168" t="s">
        <v>116</v>
      </c>
      <c r="D25" s="169" t="s">
        <v>117</v>
      </c>
      <c r="E25" s="168" t="s">
        <v>19</v>
      </c>
      <c r="F25" s="170">
        <v>1</v>
      </c>
      <c r="G25" s="186">
        <v>80.430000000000007</v>
      </c>
      <c r="H25" s="97" t="s">
        <v>17</v>
      </c>
      <c r="I25" s="98">
        <f t="shared" si="1"/>
        <v>97.36</v>
      </c>
      <c r="J25" s="112">
        <f t="shared" si="2"/>
        <v>97.36</v>
      </c>
      <c r="K25" s="138"/>
      <c r="L25" s="146"/>
      <c r="M25" s="149"/>
      <c r="N25" s="142"/>
      <c r="O25" s="143"/>
      <c r="P25" s="145"/>
      <c r="Q25" s="1"/>
      <c r="R25" s="137"/>
    </row>
    <row r="26" spans="1:23" s="6" customFormat="1" ht="12.75" x14ac:dyDescent="0.2">
      <c r="A26" s="167" t="s">
        <v>122</v>
      </c>
      <c r="B26" s="172" t="s">
        <v>125</v>
      </c>
      <c r="C26" s="168">
        <v>43224</v>
      </c>
      <c r="D26" s="169" t="s">
        <v>134</v>
      </c>
      <c r="E26" s="168" t="s">
        <v>15</v>
      </c>
      <c r="F26" s="170">
        <v>26.63</v>
      </c>
      <c r="G26" s="186">
        <v>28.83</v>
      </c>
      <c r="H26" s="97" t="s">
        <v>17</v>
      </c>
      <c r="I26" s="98">
        <f t="shared" si="1"/>
        <v>34.9</v>
      </c>
      <c r="J26" s="112">
        <f t="shared" si="2"/>
        <v>929.39</v>
      </c>
      <c r="K26" s="138"/>
      <c r="L26" s="146"/>
      <c r="M26" s="149"/>
      <c r="N26" s="142"/>
      <c r="O26" s="143"/>
      <c r="P26" s="145"/>
      <c r="Q26" s="1"/>
      <c r="R26" s="137"/>
      <c r="U26" s="6">
        <f>ROUND((1088.312/852.809)*22.59,2)</f>
        <v>28.83</v>
      </c>
      <c r="V26" s="6">
        <f>(24.1+24.1)*(0.3+0.1)+((4.2*1.4)+(4.2*0.35))</f>
        <v>26.630000000000003</v>
      </c>
      <c r="W26" s="6" t="s">
        <v>168</v>
      </c>
    </row>
    <row r="27" spans="1:23" s="6" customFormat="1" ht="12.75" x14ac:dyDescent="0.2">
      <c r="A27" s="167" t="s">
        <v>126</v>
      </c>
      <c r="B27" s="172" t="s">
        <v>125</v>
      </c>
      <c r="C27" s="168">
        <v>43225</v>
      </c>
      <c r="D27" s="169" t="s">
        <v>135</v>
      </c>
      <c r="E27" s="168" t="s">
        <v>15</v>
      </c>
      <c r="F27" s="170">
        <v>8.23</v>
      </c>
      <c r="G27" s="186">
        <v>25.05</v>
      </c>
      <c r="H27" s="97" t="s">
        <v>17</v>
      </c>
      <c r="I27" s="98">
        <f t="shared" si="1"/>
        <v>30.32</v>
      </c>
      <c r="J27" s="112">
        <f t="shared" si="2"/>
        <v>249.53</v>
      </c>
      <c r="K27" s="138"/>
      <c r="L27" s="146"/>
      <c r="M27" s="149"/>
      <c r="N27" s="142"/>
      <c r="O27" s="143"/>
      <c r="P27" s="145"/>
      <c r="Q27" s="1"/>
      <c r="R27" s="137"/>
      <c r="U27" s="6">
        <f>ROUND((1088.312/852.809)*19.63,2)</f>
        <v>25.05</v>
      </c>
      <c r="V27" s="6">
        <f>(4.2*1.4)+(4.2*0.56)</f>
        <v>8.2319999999999993</v>
      </c>
      <c r="W27" s="6" t="s">
        <v>169</v>
      </c>
    </row>
    <row r="28" spans="1:23" s="6" customFormat="1" ht="12.75" x14ac:dyDescent="0.2">
      <c r="A28" s="167" t="s">
        <v>127</v>
      </c>
      <c r="B28" s="172" t="s">
        <v>129</v>
      </c>
      <c r="C28" s="168" t="s">
        <v>152</v>
      </c>
      <c r="D28" s="169" t="s">
        <v>159</v>
      </c>
      <c r="E28" s="168" t="s">
        <v>113</v>
      </c>
      <c r="F28" s="170">
        <v>10.119999999999999</v>
      </c>
      <c r="G28" s="186">
        <v>65.8</v>
      </c>
      <c r="H28" s="97" t="s">
        <v>17</v>
      </c>
      <c r="I28" s="98">
        <f t="shared" si="1"/>
        <v>79.650000000000006</v>
      </c>
      <c r="J28" s="112">
        <f t="shared" ref="J28" si="3">ROUND(F28*I28,2)</f>
        <v>806.06</v>
      </c>
      <c r="K28" s="138"/>
      <c r="L28" s="146"/>
      <c r="M28" s="149"/>
      <c r="N28" s="142"/>
      <c r="O28" s="143"/>
      <c r="P28" s="145"/>
      <c r="Q28" s="1"/>
      <c r="R28" s="137"/>
      <c r="V28" s="6">
        <f>101.22*0.1</f>
        <v>10.122</v>
      </c>
      <c r="W28" s="6" t="s">
        <v>167</v>
      </c>
    </row>
    <row r="29" spans="1:23" s="6" customFormat="1" ht="22.5" x14ac:dyDescent="0.2">
      <c r="A29" s="167" t="s">
        <v>210</v>
      </c>
      <c r="B29" s="172" t="s">
        <v>11</v>
      </c>
      <c r="C29" s="168" t="s">
        <v>119</v>
      </c>
      <c r="D29" s="169" t="s">
        <v>157</v>
      </c>
      <c r="E29" s="168" t="s">
        <v>121</v>
      </c>
      <c r="F29" s="170">
        <v>409.86</v>
      </c>
      <c r="G29" s="186">
        <v>1.1599999999999999</v>
      </c>
      <c r="H29" s="97" t="s">
        <v>17</v>
      </c>
      <c r="I29" s="98">
        <f t="shared" si="1"/>
        <v>1.4</v>
      </c>
      <c r="J29" s="112">
        <f t="shared" si="2"/>
        <v>573.79999999999995</v>
      </c>
      <c r="K29" s="138"/>
      <c r="L29" s="146"/>
      <c r="M29" s="149"/>
      <c r="N29" s="142"/>
      <c r="O29" s="143"/>
      <c r="P29" s="145"/>
      <c r="Q29" s="1"/>
      <c r="R29" s="137"/>
      <c r="V29" s="6">
        <f>10.12*1500*27/1000</f>
        <v>409.85999999999996</v>
      </c>
    </row>
    <row r="30" spans="1:23" s="6" customFormat="1" ht="22.5" x14ac:dyDescent="0.2">
      <c r="A30" s="167" t="s">
        <v>211</v>
      </c>
      <c r="B30" s="172" t="s">
        <v>125</v>
      </c>
      <c r="C30" s="168">
        <v>42581</v>
      </c>
      <c r="D30" s="169" t="s">
        <v>198</v>
      </c>
      <c r="E30" s="168" t="s">
        <v>113</v>
      </c>
      <c r="F30" s="170">
        <v>11.03</v>
      </c>
      <c r="G30" s="186">
        <v>63.3</v>
      </c>
      <c r="H30" s="97" t="s">
        <v>17</v>
      </c>
      <c r="I30" s="98">
        <f t="shared" si="1"/>
        <v>76.62</v>
      </c>
      <c r="J30" s="112">
        <f t="shared" si="2"/>
        <v>845.12</v>
      </c>
      <c r="K30" s="138"/>
      <c r="L30" s="146"/>
      <c r="M30" s="149"/>
      <c r="N30" s="142"/>
      <c r="O30" s="143"/>
      <c r="P30" s="145"/>
      <c r="Q30" s="1"/>
      <c r="R30" s="137"/>
      <c r="U30" s="6">
        <f>ROUND((1088.312/852.809)*49.6,2)</f>
        <v>63.3</v>
      </c>
      <c r="V30" s="6">
        <f>10.12+0.09+(8.23*0.1)</f>
        <v>11.032999999999999</v>
      </c>
    </row>
    <row r="31" spans="1:23" s="6" customFormat="1" ht="12.75" x14ac:dyDescent="0.2">
      <c r="A31" s="107">
        <v>3</v>
      </c>
      <c r="B31" s="2"/>
      <c r="C31" s="2"/>
      <c r="D31" s="3" t="s">
        <v>164</v>
      </c>
      <c r="E31" s="2"/>
      <c r="F31" s="2"/>
      <c r="G31" s="4"/>
      <c r="H31" s="4"/>
      <c r="I31" s="4"/>
      <c r="J31" s="99">
        <f>SUM(J32:J36)</f>
        <v>13829.289999999999</v>
      </c>
      <c r="K31" s="138"/>
      <c r="L31" s="146"/>
      <c r="M31" s="149"/>
      <c r="N31" s="142"/>
      <c r="O31" s="171"/>
      <c r="P31" s="145"/>
      <c r="Q31" s="1"/>
      <c r="R31" s="137"/>
    </row>
    <row r="32" spans="1:23" s="6" customFormat="1" ht="22.5" x14ac:dyDescent="0.2">
      <c r="A32" s="111" t="s">
        <v>144</v>
      </c>
      <c r="B32" s="172" t="s">
        <v>129</v>
      </c>
      <c r="C32" s="94" t="s">
        <v>161</v>
      </c>
      <c r="D32" s="95" t="s">
        <v>160</v>
      </c>
      <c r="E32" s="94" t="s">
        <v>15</v>
      </c>
      <c r="F32" s="96">
        <v>101.22</v>
      </c>
      <c r="G32" s="187">
        <v>58.34</v>
      </c>
      <c r="H32" s="97" t="s">
        <v>17</v>
      </c>
      <c r="I32" s="98">
        <f t="shared" si="1"/>
        <v>70.62</v>
      </c>
      <c r="J32" s="112">
        <f t="shared" ref="J32" si="4">ROUND(F32*I32,2)</f>
        <v>7148.16</v>
      </c>
      <c r="K32" s="138"/>
      <c r="L32" s="146"/>
      <c r="M32" s="149"/>
      <c r="N32" s="142"/>
      <c r="O32" s="171"/>
      <c r="P32" s="145"/>
      <c r="Q32" s="1"/>
      <c r="R32" s="137"/>
      <c r="V32" s="6">
        <f>24.1*4.2</f>
        <v>101.22000000000001</v>
      </c>
    </row>
    <row r="33" spans="1:24" s="6" customFormat="1" ht="12.75" x14ac:dyDescent="0.2">
      <c r="A33" s="111" t="s">
        <v>145</v>
      </c>
      <c r="B33" s="94" t="s">
        <v>11</v>
      </c>
      <c r="C33" s="94" t="s">
        <v>240</v>
      </c>
      <c r="D33" s="95" t="s">
        <v>242</v>
      </c>
      <c r="E33" s="94" t="s">
        <v>241</v>
      </c>
      <c r="F33" s="96">
        <v>129.19999999999999</v>
      </c>
      <c r="G33" s="187">
        <v>2.46</v>
      </c>
      <c r="H33" s="97" t="s">
        <v>17</v>
      </c>
      <c r="I33" s="98">
        <f t="shared" si="1"/>
        <v>2.98</v>
      </c>
      <c r="J33" s="112">
        <f t="shared" ref="J33" si="5">ROUND(F33*I33,2)</f>
        <v>385.02</v>
      </c>
      <c r="K33" s="138"/>
      <c r="L33" s="146"/>
      <c r="M33" s="149"/>
      <c r="N33" s="142"/>
      <c r="O33" s="171"/>
      <c r="P33" s="145"/>
      <c r="Q33" s="1"/>
      <c r="R33" s="137"/>
      <c r="V33" s="6" t="s">
        <v>239</v>
      </c>
      <c r="W33" s="6">
        <f>101.22*0.08*1.05</f>
        <v>8.5024800000000003</v>
      </c>
      <c r="X33" s="6">
        <f>8.5*15.2</f>
        <v>129.19999999999999</v>
      </c>
    </row>
    <row r="34" spans="1:24" s="6" customFormat="1" ht="33.75" x14ac:dyDescent="0.2">
      <c r="A34" s="111" t="s">
        <v>199</v>
      </c>
      <c r="B34" s="94" t="s">
        <v>129</v>
      </c>
      <c r="C34" s="94" t="s">
        <v>153</v>
      </c>
      <c r="D34" s="95" t="s">
        <v>162</v>
      </c>
      <c r="E34" s="94" t="s">
        <v>19</v>
      </c>
      <c r="F34" s="96">
        <v>6</v>
      </c>
      <c r="G34" s="187">
        <v>205.79</v>
      </c>
      <c r="H34" s="97" t="s">
        <v>17</v>
      </c>
      <c r="I34" s="98">
        <f t="shared" si="1"/>
        <v>249.11</v>
      </c>
      <c r="J34" s="112">
        <f t="shared" ref="J34" si="6">ROUND(F34*I34,2)</f>
        <v>1494.66</v>
      </c>
      <c r="K34" s="138"/>
      <c r="L34" s="146"/>
      <c r="M34" s="149"/>
      <c r="N34" s="142"/>
      <c r="O34" s="171"/>
      <c r="P34" s="145"/>
      <c r="Q34" s="1"/>
      <c r="R34" s="137"/>
    </row>
    <row r="35" spans="1:24" s="6" customFormat="1" ht="33.75" x14ac:dyDescent="0.2">
      <c r="A35" s="111" t="s">
        <v>200</v>
      </c>
      <c r="B35" s="94" t="s">
        <v>11</v>
      </c>
      <c r="C35" s="94" t="s">
        <v>165</v>
      </c>
      <c r="D35" s="95" t="s">
        <v>163</v>
      </c>
      <c r="E35" s="94" t="s">
        <v>15</v>
      </c>
      <c r="F35" s="96">
        <v>101.22</v>
      </c>
      <c r="G35" s="187">
        <v>35.31</v>
      </c>
      <c r="H35" s="97" t="s">
        <v>17</v>
      </c>
      <c r="I35" s="98">
        <f t="shared" si="1"/>
        <v>42.74</v>
      </c>
      <c r="J35" s="112">
        <f>ROUND(F35*I35,2)</f>
        <v>4326.1400000000003</v>
      </c>
      <c r="K35" s="138"/>
      <c r="L35" s="146"/>
      <c r="M35" s="149"/>
      <c r="N35" s="142"/>
      <c r="O35" s="171"/>
      <c r="P35" s="145"/>
      <c r="Q35" s="1"/>
      <c r="R35" s="137"/>
    </row>
    <row r="36" spans="1:24" s="6" customFormat="1" ht="22.5" x14ac:dyDescent="0.2">
      <c r="A36" s="167" t="s">
        <v>201</v>
      </c>
      <c r="B36" s="172" t="s">
        <v>129</v>
      </c>
      <c r="C36" s="168" t="s">
        <v>132</v>
      </c>
      <c r="D36" s="169" t="s">
        <v>133</v>
      </c>
      <c r="E36" s="168" t="s">
        <v>113</v>
      </c>
      <c r="F36" s="170">
        <v>0.38</v>
      </c>
      <c r="G36" s="186">
        <v>1033.3</v>
      </c>
      <c r="H36" s="97" t="s">
        <v>17</v>
      </c>
      <c r="I36" s="98">
        <f t="shared" si="1"/>
        <v>1250.81</v>
      </c>
      <c r="J36" s="112">
        <f>ROUND(F36*I36,2)</f>
        <v>475.31</v>
      </c>
      <c r="K36" s="138"/>
      <c r="L36" s="146"/>
      <c r="M36" s="149"/>
      <c r="N36" s="142"/>
      <c r="O36" s="171"/>
      <c r="P36" s="145"/>
      <c r="Q36" s="1"/>
      <c r="R36" s="137"/>
      <c r="V36" s="6">
        <f>((0.35+0.1)*0.03/2)*(24.1+24.1+4.2+4.2)</f>
        <v>0.38205</v>
      </c>
      <c r="W36" s="6" t="s">
        <v>166</v>
      </c>
    </row>
    <row r="37" spans="1:24" s="6" customFormat="1" ht="12.75" x14ac:dyDescent="0.2">
      <c r="A37" s="107">
        <v>4</v>
      </c>
      <c r="B37" s="2"/>
      <c r="C37" s="2"/>
      <c r="D37" s="3" t="s">
        <v>131</v>
      </c>
      <c r="E37" s="2"/>
      <c r="F37" s="2"/>
      <c r="G37" s="4"/>
      <c r="H37" s="4"/>
      <c r="I37" s="4"/>
      <c r="J37" s="99">
        <f>SUM(J38:J40)</f>
        <v>2717.72</v>
      </c>
      <c r="K37" s="138"/>
      <c r="L37" s="146"/>
      <c r="M37" s="149"/>
      <c r="N37" s="142"/>
      <c r="O37" s="171"/>
      <c r="P37" s="145"/>
      <c r="Q37" s="1"/>
      <c r="R37" s="137"/>
    </row>
    <row r="38" spans="1:24" s="6" customFormat="1" ht="22.5" x14ac:dyDescent="0.2">
      <c r="A38" s="111" t="s">
        <v>146</v>
      </c>
      <c r="B38" s="94" t="s">
        <v>125</v>
      </c>
      <c r="C38" s="94" t="s">
        <v>185</v>
      </c>
      <c r="D38" s="95" t="s">
        <v>142</v>
      </c>
      <c r="E38" s="94" t="s">
        <v>15</v>
      </c>
      <c r="F38" s="96">
        <v>26.63</v>
      </c>
      <c r="G38" s="187">
        <v>67.73</v>
      </c>
      <c r="H38" s="97" t="s">
        <v>17</v>
      </c>
      <c r="I38" s="98">
        <f t="shared" si="1"/>
        <v>81.99</v>
      </c>
      <c r="J38" s="112">
        <f>ROUND(F38*I38,2)</f>
        <v>2183.39</v>
      </c>
      <c r="K38" s="138"/>
      <c r="L38" s="146"/>
      <c r="M38" s="149"/>
      <c r="N38" s="142"/>
      <c r="O38" s="171"/>
      <c r="P38" s="145"/>
      <c r="Q38" s="1"/>
      <c r="R38" s="137"/>
      <c r="U38" s="6">
        <f>ROUND((1088.312/852.809)*53.07,2)</f>
        <v>67.73</v>
      </c>
      <c r="V38" s="6" t="s">
        <v>136</v>
      </c>
      <c r="W38" s="6" t="s">
        <v>137</v>
      </c>
    </row>
    <row r="39" spans="1:24" s="6" customFormat="1" ht="22.5" x14ac:dyDescent="0.2">
      <c r="A39" s="167" t="s">
        <v>147</v>
      </c>
      <c r="B39" s="172" t="s">
        <v>139</v>
      </c>
      <c r="C39" s="168" t="s">
        <v>138</v>
      </c>
      <c r="D39" s="169" t="s">
        <v>140</v>
      </c>
      <c r="E39" s="168" t="s">
        <v>20</v>
      </c>
      <c r="F39" s="170">
        <v>4.2</v>
      </c>
      <c r="G39" s="186">
        <v>75.41</v>
      </c>
      <c r="H39" s="97" t="s">
        <v>17</v>
      </c>
      <c r="I39" s="98">
        <f t="shared" si="1"/>
        <v>91.28</v>
      </c>
      <c r="J39" s="112">
        <f>ROUND(F39*I39,2)</f>
        <v>383.38</v>
      </c>
      <c r="K39" s="138"/>
      <c r="L39" s="146"/>
      <c r="M39" s="149"/>
      <c r="N39" s="142"/>
      <c r="O39" s="171"/>
      <c r="P39" s="145"/>
      <c r="Q39" s="1"/>
      <c r="R39" s="137"/>
    </row>
    <row r="40" spans="1:24" s="6" customFormat="1" ht="22.5" x14ac:dyDescent="0.2">
      <c r="A40" s="167" t="s">
        <v>148</v>
      </c>
      <c r="B40" s="172" t="s">
        <v>139</v>
      </c>
      <c r="C40" s="168" t="s">
        <v>141</v>
      </c>
      <c r="D40" s="169" t="s">
        <v>143</v>
      </c>
      <c r="E40" s="168" t="s">
        <v>20</v>
      </c>
      <c r="F40" s="170">
        <v>4.2</v>
      </c>
      <c r="G40" s="186">
        <v>29.69</v>
      </c>
      <c r="H40" s="97" t="s">
        <v>17</v>
      </c>
      <c r="I40" s="98">
        <f t="shared" si="1"/>
        <v>35.94</v>
      </c>
      <c r="J40" s="112">
        <f>ROUND(F40*I40,2)</f>
        <v>150.94999999999999</v>
      </c>
      <c r="K40" s="138"/>
      <c r="L40" s="146"/>
      <c r="M40" s="149"/>
      <c r="N40" s="142"/>
      <c r="O40" s="171"/>
      <c r="P40" s="145"/>
      <c r="Q40" s="1"/>
      <c r="R40" s="137"/>
      <c r="V40" s="177">
        <f>296.86*0.1</f>
        <v>29.686000000000003</v>
      </c>
    </row>
    <row r="41" spans="1:24" s="6" customFormat="1" ht="12.75" x14ac:dyDescent="0.2">
      <c r="A41" s="107">
        <v>5</v>
      </c>
      <c r="B41" s="2"/>
      <c r="C41" s="2"/>
      <c r="D41" s="3" t="s">
        <v>237</v>
      </c>
      <c r="E41" s="2"/>
      <c r="F41" s="2"/>
      <c r="G41" s="4"/>
      <c r="H41" s="4"/>
      <c r="I41" s="4"/>
      <c r="J41" s="99">
        <f>SUM(J42:J51)</f>
        <v>24211.34</v>
      </c>
      <c r="K41" s="138"/>
      <c r="L41" s="146"/>
      <c r="M41" s="149"/>
      <c r="N41" s="142"/>
      <c r="O41" s="171"/>
      <c r="P41" s="145"/>
      <c r="Q41" s="1"/>
      <c r="R41" s="137"/>
    </row>
    <row r="42" spans="1:24" s="6" customFormat="1" ht="12.75" x14ac:dyDescent="0.2">
      <c r="A42" s="167" t="s">
        <v>150</v>
      </c>
      <c r="B42" s="172" t="s">
        <v>11</v>
      </c>
      <c r="C42" s="168" t="s">
        <v>124</v>
      </c>
      <c r="D42" s="169" t="s">
        <v>123</v>
      </c>
      <c r="E42" s="168" t="s">
        <v>15</v>
      </c>
      <c r="F42" s="170">
        <v>101.22</v>
      </c>
      <c r="G42" s="186">
        <v>3.73</v>
      </c>
      <c r="H42" s="97" t="s">
        <v>17</v>
      </c>
      <c r="I42" s="98">
        <f t="shared" si="1"/>
        <v>4.5199999999999996</v>
      </c>
      <c r="J42" s="112">
        <f t="shared" ref="J42" si="7">ROUND(F42*I42,2)</f>
        <v>457.51</v>
      </c>
      <c r="K42" s="138"/>
      <c r="L42" s="146"/>
      <c r="M42" s="149"/>
      <c r="N42" s="142"/>
      <c r="O42" s="171"/>
      <c r="P42" s="145"/>
      <c r="Q42" s="1"/>
      <c r="R42" s="137"/>
    </row>
    <row r="43" spans="1:24" s="6" customFormat="1" ht="33.75" x14ac:dyDescent="0.2">
      <c r="A43" s="167" t="s">
        <v>151</v>
      </c>
      <c r="B43" s="172" t="s">
        <v>149</v>
      </c>
      <c r="C43" s="178" t="s">
        <v>152</v>
      </c>
      <c r="D43" s="169" t="s">
        <v>180</v>
      </c>
      <c r="E43" s="168" t="s">
        <v>19</v>
      </c>
      <c r="F43" s="170">
        <v>1</v>
      </c>
      <c r="G43" s="186">
        <v>3038.5</v>
      </c>
      <c r="H43" s="97" t="s">
        <v>17</v>
      </c>
      <c r="I43" s="98">
        <f>ROUND($G43*(1+(IF($H43=$I$6,$J$6,IF($H43=$I$7,$J$7,0)))),2)</f>
        <v>3678.1</v>
      </c>
      <c r="J43" s="112">
        <f>ROUND(F43*I43,2)</f>
        <v>3678.1</v>
      </c>
      <c r="K43" s="138"/>
      <c r="L43" s="146"/>
      <c r="M43" s="149"/>
      <c r="N43" s="142"/>
      <c r="O43" s="171"/>
      <c r="P43" s="145"/>
      <c r="Q43" s="1"/>
      <c r="R43" s="137"/>
    </row>
    <row r="44" spans="1:24" s="6" customFormat="1" ht="33.75" x14ac:dyDescent="0.2">
      <c r="A44" s="167" t="s">
        <v>154</v>
      </c>
      <c r="B44" s="172" t="s">
        <v>149</v>
      </c>
      <c r="C44" s="178" t="s">
        <v>132</v>
      </c>
      <c r="D44" s="169" t="s">
        <v>181</v>
      </c>
      <c r="E44" s="168" t="s">
        <v>19</v>
      </c>
      <c r="F44" s="170">
        <v>1</v>
      </c>
      <c r="G44" s="186">
        <v>4529.5</v>
      </c>
      <c r="H44" s="97" t="s">
        <v>17</v>
      </c>
      <c r="I44" s="98">
        <f t="shared" si="1"/>
        <v>5482.96</v>
      </c>
      <c r="J44" s="112">
        <f t="shared" ref="J44:J51" si="8">ROUND(F44*I44,2)</f>
        <v>5482.96</v>
      </c>
      <c r="K44" s="138"/>
      <c r="L44" s="146"/>
      <c r="M44" s="149"/>
      <c r="N44" s="142"/>
      <c r="O44" s="171"/>
      <c r="P44" s="145"/>
      <c r="Q44" s="1"/>
      <c r="R44" s="137"/>
    </row>
    <row r="45" spans="1:24" s="6" customFormat="1" ht="22.5" x14ac:dyDescent="0.2">
      <c r="A45" s="167" t="s">
        <v>155</v>
      </c>
      <c r="B45" s="172" t="s">
        <v>149</v>
      </c>
      <c r="C45" s="178" t="s">
        <v>153</v>
      </c>
      <c r="D45" s="169" t="s">
        <v>182</v>
      </c>
      <c r="E45" s="168" t="s">
        <v>19</v>
      </c>
      <c r="F45" s="170">
        <v>1</v>
      </c>
      <c r="G45" s="186">
        <v>1249.5</v>
      </c>
      <c r="H45" s="97" t="s">
        <v>17</v>
      </c>
      <c r="I45" s="98">
        <f t="shared" si="1"/>
        <v>1512.52</v>
      </c>
      <c r="J45" s="112">
        <f t="shared" si="8"/>
        <v>1512.52</v>
      </c>
      <c r="K45" s="138"/>
      <c r="L45" s="146"/>
      <c r="M45" s="149"/>
      <c r="N45" s="142"/>
      <c r="O45" s="171"/>
      <c r="P45" s="145"/>
      <c r="Q45" s="1"/>
      <c r="R45" s="137"/>
    </row>
    <row r="46" spans="1:24" s="6" customFormat="1" ht="22.5" x14ac:dyDescent="0.2">
      <c r="A46" s="167" t="s">
        <v>158</v>
      </c>
      <c r="B46" s="172" t="s">
        <v>149</v>
      </c>
      <c r="C46" s="178" t="s">
        <v>156</v>
      </c>
      <c r="D46" s="169" t="s">
        <v>183</v>
      </c>
      <c r="E46" s="168" t="s">
        <v>19</v>
      </c>
      <c r="F46" s="170">
        <v>2</v>
      </c>
      <c r="G46" s="186">
        <v>1249.5</v>
      </c>
      <c r="H46" s="97" t="s">
        <v>17</v>
      </c>
      <c r="I46" s="98">
        <f t="shared" si="1"/>
        <v>1512.52</v>
      </c>
      <c r="J46" s="112">
        <f t="shared" si="8"/>
        <v>3025.04</v>
      </c>
      <c r="K46" s="138"/>
      <c r="L46" s="146"/>
      <c r="M46" s="149"/>
      <c r="N46" s="142"/>
      <c r="O46" s="171"/>
      <c r="P46" s="145"/>
      <c r="Q46" s="1"/>
      <c r="R46" s="137"/>
    </row>
    <row r="47" spans="1:24" s="6" customFormat="1" ht="12.75" x14ac:dyDescent="0.2">
      <c r="A47" s="167" t="s">
        <v>173</v>
      </c>
      <c r="B47" s="172" t="s">
        <v>139</v>
      </c>
      <c r="C47" s="168" t="s">
        <v>172</v>
      </c>
      <c r="D47" s="169" t="s">
        <v>171</v>
      </c>
      <c r="E47" s="168" t="s">
        <v>174</v>
      </c>
      <c r="F47" s="170">
        <v>75</v>
      </c>
      <c r="G47" s="186">
        <v>32.83</v>
      </c>
      <c r="H47" s="97" t="s">
        <v>17</v>
      </c>
      <c r="I47" s="98">
        <f t="shared" si="1"/>
        <v>39.74</v>
      </c>
      <c r="J47" s="112">
        <f t="shared" si="8"/>
        <v>2980.5</v>
      </c>
      <c r="K47" s="138"/>
      <c r="L47" s="146"/>
      <c r="M47" s="149"/>
      <c r="N47" s="142"/>
      <c r="O47" s="171"/>
      <c r="P47" s="145"/>
      <c r="Q47" s="1"/>
      <c r="R47" s="137"/>
      <c r="V47" s="6" t="s">
        <v>175</v>
      </c>
      <c r="W47" s="6" t="s">
        <v>176</v>
      </c>
      <c r="X47" s="6">
        <f>100+100+(24.1+24.1+4.2+4.2)*1.45</f>
        <v>282.07</v>
      </c>
    </row>
    <row r="48" spans="1:24" s="6" customFormat="1" ht="12.75" x14ac:dyDescent="0.2">
      <c r="A48" s="167" t="s">
        <v>202</v>
      </c>
      <c r="B48" s="172" t="s">
        <v>129</v>
      </c>
      <c r="C48" s="178" t="s">
        <v>156</v>
      </c>
      <c r="D48" s="169" t="s">
        <v>177</v>
      </c>
      <c r="E48" s="168" t="s">
        <v>15</v>
      </c>
      <c r="F48" s="170">
        <v>101.22</v>
      </c>
      <c r="G48" s="186">
        <v>19.48</v>
      </c>
      <c r="H48" s="97" t="s">
        <v>17</v>
      </c>
      <c r="I48" s="98">
        <f t="shared" si="1"/>
        <v>23.58</v>
      </c>
      <c r="J48" s="112">
        <f t="shared" si="8"/>
        <v>2386.77</v>
      </c>
      <c r="K48" s="138"/>
      <c r="L48" s="146"/>
      <c r="M48" s="149"/>
      <c r="N48" s="142"/>
      <c r="O48" s="171"/>
      <c r="P48" s="145"/>
      <c r="Q48" s="1"/>
      <c r="R48" s="137"/>
    </row>
    <row r="49" spans="1:22" s="6" customFormat="1" ht="12.75" x14ac:dyDescent="0.2">
      <c r="A49" s="167" t="s">
        <v>203</v>
      </c>
      <c r="B49" s="172" t="s">
        <v>129</v>
      </c>
      <c r="C49" s="178" t="s">
        <v>156</v>
      </c>
      <c r="D49" s="169" t="s">
        <v>178</v>
      </c>
      <c r="E49" s="168" t="s">
        <v>15</v>
      </c>
      <c r="F49" s="170">
        <v>101.22</v>
      </c>
      <c r="G49" s="186">
        <v>19.48</v>
      </c>
      <c r="H49" s="97" t="s">
        <v>17</v>
      </c>
      <c r="I49" s="98">
        <f t="shared" si="1"/>
        <v>23.58</v>
      </c>
      <c r="J49" s="112">
        <f t="shared" ref="J49" si="9">ROUND(F49*I49,2)</f>
        <v>2386.77</v>
      </c>
      <c r="K49" s="138"/>
      <c r="L49" s="146"/>
      <c r="M49" s="149"/>
      <c r="N49" s="142"/>
      <c r="O49" s="171"/>
      <c r="P49" s="145"/>
      <c r="Q49" s="1"/>
      <c r="R49" s="137"/>
    </row>
    <row r="50" spans="1:22" s="6" customFormat="1" ht="12.75" x14ac:dyDescent="0.2">
      <c r="A50" s="167" t="s">
        <v>204</v>
      </c>
      <c r="B50" s="172" t="s">
        <v>129</v>
      </c>
      <c r="C50" s="178" t="s">
        <v>156</v>
      </c>
      <c r="D50" s="169" t="s">
        <v>179</v>
      </c>
      <c r="E50" s="168" t="s">
        <v>15</v>
      </c>
      <c r="F50" s="170">
        <v>82.07</v>
      </c>
      <c r="G50" s="186">
        <v>19.48</v>
      </c>
      <c r="H50" s="97" t="s">
        <v>17</v>
      </c>
      <c r="I50" s="98">
        <f t="shared" si="1"/>
        <v>23.58</v>
      </c>
      <c r="J50" s="112">
        <f t="shared" ref="J50" si="10">ROUND(F50*I50,2)</f>
        <v>1935.21</v>
      </c>
      <c r="K50" s="138"/>
      <c r="L50" s="146"/>
      <c r="M50" s="149"/>
      <c r="N50" s="142"/>
      <c r="O50" s="171"/>
      <c r="P50" s="145"/>
      <c r="Q50" s="1"/>
      <c r="R50" s="137"/>
      <c r="V50" s="6">
        <f>(24.1+24.1+4.2+4.2)*(1.05+0.1+0.3)</f>
        <v>82.070000000000022</v>
      </c>
    </row>
    <row r="51" spans="1:22" s="6" customFormat="1" ht="22.5" x14ac:dyDescent="0.2">
      <c r="A51" s="167" t="s">
        <v>205</v>
      </c>
      <c r="B51" s="172" t="s">
        <v>11</v>
      </c>
      <c r="C51" s="168" t="s">
        <v>184</v>
      </c>
      <c r="D51" s="169" t="s">
        <v>186</v>
      </c>
      <c r="E51" s="168" t="s">
        <v>20</v>
      </c>
      <c r="F51" s="170">
        <v>28</v>
      </c>
      <c r="G51" s="186">
        <v>10.8</v>
      </c>
      <c r="H51" s="97" t="s">
        <v>17</v>
      </c>
      <c r="I51" s="98">
        <f t="shared" si="1"/>
        <v>13.07</v>
      </c>
      <c r="J51" s="112">
        <f t="shared" si="8"/>
        <v>365.96</v>
      </c>
      <c r="K51" s="138"/>
      <c r="L51" s="146"/>
      <c r="M51" s="149"/>
      <c r="N51" s="142"/>
      <c r="O51" s="171"/>
      <c r="P51" s="145"/>
      <c r="Q51" s="1"/>
      <c r="R51" s="137"/>
      <c r="V51" s="6">
        <f>7*4</f>
        <v>28</v>
      </c>
    </row>
    <row r="52" spans="1:22" s="6" customFormat="1" ht="12.75" x14ac:dyDescent="0.2">
      <c r="A52" s="107">
        <v>6</v>
      </c>
      <c r="B52" s="2"/>
      <c r="C52" s="2"/>
      <c r="D52" s="3" t="s">
        <v>111</v>
      </c>
      <c r="E52" s="2"/>
      <c r="F52" s="2"/>
      <c r="G52" s="4"/>
      <c r="H52" s="4"/>
      <c r="I52" s="4"/>
      <c r="J52" s="99">
        <f>SUM(J53:J56)</f>
        <v>1036.99</v>
      </c>
      <c r="K52" s="138"/>
      <c r="L52" s="146"/>
      <c r="M52" s="149"/>
      <c r="N52" s="142"/>
      <c r="O52" s="171"/>
      <c r="P52" s="145"/>
      <c r="Q52" s="1"/>
      <c r="R52" s="137"/>
    </row>
    <row r="53" spans="1:22" s="6" customFormat="1" ht="12.75" x14ac:dyDescent="0.2">
      <c r="A53" s="167" t="s">
        <v>189</v>
      </c>
      <c r="B53" s="172" t="s">
        <v>149</v>
      </c>
      <c r="C53" s="178" t="s">
        <v>188</v>
      </c>
      <c r="D53" s="169" t="s">
        <v>187</v>
      </c>
      <c r="E53" s="168" t="s">
        <v>19</v>
      </c>
      <c r="F53" s="170">
        <v>1</v>
      </c>
      <c r="G53" s="186">
        <v>479</v>
      </c>
      <c r="H53" s="97" t="s">
        <v>17</v>
      </c>
      <c r="I53" s="98">
        <f t="shared" si="1"/>
        <v>579.83000000000004</v>
      </c>
      <c r="J53" s="112">
        <f>ROUND(F53*I53,2)</f>
        <v>579.83000000000004</v>
      </c>
      <c r="K53" s="138"/>
      <c r="L53" s="146"/>
      <c r="M53" s="149"/>
      <c r="N53" s="142"/>
      <c r="O53" s="171"/>
      <c r="P53" s="145"/>
      <c r="Q53" s="1"/>
      <c r="R53" s="137"/>
    </row>
    <row r="54" spans="1:22" s="6" customFormat="1" ht="22.5" x14ac:dyDescent="0.2">
      <c r="A54" s="167" t="s">
        <v>192</v>
      </c>
      <c r="B54" s="172" t="s">
        <v>11</v>
      </c>
      <c r="C54" s="168" t="s">
        <v>191</v>
      </c>
      <c r="D54" s="169" t="s">
        <v>190</v>
      </c>
      <c r="E54" s="168" t="s">
        <v>20</v>
      </c>
      <c r="F54" s="170">
        <v>10</v>
      </c>
      <c r="G54" s="186">
        <v>19.920000000000002</v>
      </c>
      <c r="H54" s="97" t="s">
        <v>17</v>
      </c>
      <c r="I54" s="98">
        <f t="shared" si="1"/>
        <v>24.11</v>
      </c>
      <c r="J54" s="112">
        <f>ROUND(F54*I54,2)</f>
        <v>241.1</v>
      </c>
      <c r="K54" s="138"/>
      <c r="L54" s="146"/>
      <c r="M54" s="149"/>
      <c r="N54" s="142"/>
      <c r="O54" s="171"/>
      <c r="P54" s="145"/>
      <c r="Q54" s="1"/>
      <c r="R54" s="137"/>
    </row>
    <row r="55" spans="1:22" s="6" customFormat="1" ht="22.5" x14ac:dyDescent="0.2">
      <c r="A55" s="167" t="s">
        <v>194</v>
      </c>
      <c r="B55" s="172" t="s">
        <v>11</v>
      </c>
      <c r="C55" s="168" t="s">
        <v>197</v>
      </c>
      <c r="D55" s="169" t="s">
        <v>196</v>
      </c>
      <c r="E55" s="168" t="s">
        <v>20</v>
      </c>
      <c r="F55" s="170">
        <v>30</v>
      </c>
      <c r="G55" s="186">
        <v>4.2</v>
      </c>
      <c r="H55" s="97" t="s">
        <v>17</v>
      </c>
      <c r="I55" s="98">
        <f t="shared" si="1"/>
        <v>5.08</v>
      </c>
      <c r="J55" s="112">
        <f>ROUND(F55*I55,2)</f>
        <v>152.4</v>
      </c>
      <c r="K55" s="138"/>
      <c r="L55" s="146"/>
      <c r="M55" s="149"/>
      <c r="N55" s="142"/>
      <c r="O55" s="171"/>
      <c r="P55" s="145"/>
      <c r="Q55" s="1"/>
      <c r="R55" s="137"/>
    </row>
    <row r="56" spans="1:22" s="6" customFormat="1" ht="22.5" x14ac:dyDescent="0.2">
      <c r="A56" s="167" t="s">
        <v>226</v>
      </c>
      <c r="B56" s="172" t="s">
        <v>11</v>
      </c>
      <c r="C56" s="168" t="s">
        <v>193</v>
      </c>
      <c r="D56" s="169" t="s">
        <v>195</v>
      </c>
      <c r="E56" s="168" t="s">
        <v>19</v>
      </c>
      <c r="F56" s="170">
        <v>1</v>
      </c>
      <c r="G56" s="186">
        <v>52.59</v>
      </c>
      <c r="H56" s="97" t="s">
        <v>17</v>
      </c>
      <c r="I56" s="98">
        <f t="shared" si="1"/>
        <v>63.66</v>
      </c>
      <c r="J56" s="112">
        <f>ROUND(F56*I56,2)</f>
        <v>63.66</v>
      </c>
      <c r="K56" s="138"/>
      <c r="L56" s="146"/>
      <c r="M56" s="149"/>
      <c r="N56" s="142"/>
      <c r="O56" s="171"/>
      <c r="P56" s="145"/>
      <c r="Q56" s="1"/>
      <c r="R56" s="137"/>
    </row>
    <row r="57" spans="1:22" s="6" customFormat="1" ht="12.75" x14ac:dyDescent="0.2">
      <c r="A57" s="107">
        <v>7</v>
      </c>
      <c r="B57" s="2"/>
      <c r="C57" s="2"/>
      <c r="D57" s="3" t="s">
        <v>101</v>
      </c>
      <c r="E57" s="2"/>
      <c r="F57" s="2"/>
      <c r="G57" s="4"/>
      <c r="H57" s="4"/>
      <c r="I57" s="4"/>
      <c r="J57" s="99">
        <f>SUM(J58:J62)</f>
        <v>16274.739999999998</v>
      </c>
      <c r="K57" s="138"/>
      <c r="L57" s="146"/>
      <c r="M57" s="149"/>
      <c r="N57" s="142"/>
      <c r="O57" s="171"/>
      <c r="P57" s="145"/>
      <c r="Q57" s="1"/>
      <c r="R57" s="137"/>
    </row>
    <row r="58" spans="1:22" s="6" customFormat="1" ht="45" x14ac:dyDescent="0.2">
      <c r="A58" s="167" t="s">
        <v>212</v>
      </c>
      <c r="B58" s="172" t="s">
        <v>129</v>
      </c>
      <c r="C58" s="178" t="s">
        <v>188</v>
      </c>
      <c r="D58" s="169" t="s">
        <v>213</v>
      </c>
      <c r="E58" s="168" t="s">
        <v>20</v>
      </c>
      <c r="F58" s="170">
        <v>24.25</v>
      </c>
      <c r="G58" s="186">
        <v>407.15</v>
      </c>
      <c r="H58" s="97" t="s">
        <v>17</v>
      </c>
      <c r="I58" s="98">
        <f t="shared" si="1"/>
        <v>492.86</v>
      </c>
      <c r="J58" s="112">
        <f>ROUND(F58*I58,2)</f>
        <v>11951.86</v>
      </c>
      <c r="K58" s="138"/>
      <c r="L58" s="146"/>
      <c r="M58" s="149"/>
      <c r="N58" s="142"/>
      <c r="O58" s="171"/>
      <c r="P58" s="145"/>
      <c r="Q58" s="1"/>
      <c r="R58" s="137"/>
    </row>
    <row r="59" spans="1:22" s="6" customFormat="1" ht="33.75" x14ac:dyDescent="0.2">
      <c r="A59" s="167" t="s">
        <v>215</v>
      </c>
      <c r="B59" s="172" t="s">
        <v>129</v>
      </c>
      <c r="C59" s="178" t="s">
        <v>214</v>
      </c>
      <c r="D59" s="169" t="s">
        <v>222</v>
      </c>
      <c r="E59" s="168" t="s">
        <v>19</v>
      </c>
      <c r="F59" s="170">
        <v>1</v>
      </c>
      <c r="G59" s="186">
        <v>1122.51</v>
      </c>
      <c r="H59" s="97" t="s">
        <v>17</v>
      </c>
      <c r="I59" s="98">
        <f t="shared" si="1"/>
        <v>1358.8</v>
      </c>
      <c r="J59" s="112">
        <f>ROUND(F59*I59,2)</f>
        <v>1358.8</v>
      </c>
      <c r="K59" s="138"/>
      <c r="L59" s="146"/>
      <c r="M59" s="149"/>
      <c r="N59" s="142"/>
      <c r="O59" s="171"/>
      <c r="P59" s="145"/>
      <c r="Q59" s="1"/>
      <c r="R59" s="137"/>
    </row>
    <row r="60" spans="1:22" s="6" customFormat="1" ht="33.75" x14ac:dyDescent="0.2">
      <c r="A60" s="167" t="s">
        <v>218</v>
      </c>
      <c r="B60" s="172" t="s">
        <v>11</v>
      </c>
      <c r="C60" s="168" t="s">
        <v>216</v>
      </c>
      <c r="D60" s="169" t="s">
        <v>217</v>
      </c>
      <c r="E60" s="168" t="s">
        <v>19</v>
      </c>
      <c r="F60" s="170">
        <v>1</v>
      </c>
      <c r="G60" s="186">
        <v>17.13</v>
      </c>
      <c r="H60" s="97" t="s">
        <v>17</v>
      </c>
      <c r="I60" s="98">
        <f t="shared" si="1"/>
        <v>20.74</v>
      </c>
      <c r="J60" s="112">
        <f>ROUND(F60*I60,2)</f>
        <v>20.74</v>
      </c>
      <c r="K60" s="138"/>
      <c r="L60" s="146"/>
      <c r="M60" s="149"/>
      <c r="N60" s="142"/>
      <c r="O60" s="171"/>
      <c r="P60" s="145"/>
      <c r="Q60" s="1"/>
      <c r="R60" s="137"/>
    </row>
    <row r="61" spans="1:22" s="6" customFormat="1" ht="33.75" x14ac:dyDescent="0.2">
      <c r="A61" s="167" t="s">
        <v>221</v>
      </c>
      <c r="B61" s="172" t="s">
        <v>11</v>
      </c>
      <c r="C61" s="168" t="s">
        <v>220</v>
      </c>
      <c r="D61" s="169" t="s">
        <v>219</v>
      </c>
      <c r="E61" s="168" t="s">
        <v>19</v>
      </c>
      <c r="F61" s="170">
        <v>1</v>
      </c>
      <c r="G61" s="186">
        <v>32.75</v>
      </c>
      <c r="H61" s="97" t="s">
        <v>17</v>
      </c>
      <c r="I61" s="98">
        <f t="shared" si="1"/>
        <v>39.64</v>
      </c>
      <c r="J61" s="112">
        <f>ROUND(F61*I61,2)</f>
        <v>39.64</v>
      </c>
      <c r="K61" s="138"/>
      <c r="L61" s="146"/>
      <c r="M61" s="149"/>
      <c r="N61" s="142"/>
      <c r="O61" s="171"/>
      <c r="P61" s="145"/>
      <c r="Q61" s="1"/>
      <c r="R61" s="137"/>
    </row>
    <row r="62" spans="1:22" s="6" customFormat="1" ht="12.75" x14ac:dyDescent="0.2">
      <c r="A62" s="167" t="s">
        <v>228</v>
      </c>
      <c r="B62" s="172" t="s">
        <v>125</v>
      </c>
      <c r="C62" s="168">
        <v>40205</v>
      </c>
      <c r="D62" s="169" t="s">
        <v>227</v>
      </c>
      <c r="E62" s="168" t="s">
        <v>15</v>
      </c>
      <c r="F62" s="170">
        <v>48.5</v>
      </c>
      <c r="G62" s="186">
        <v>49.46</v>
      </c>
      <c r="H62" s="97" t="s">
        <v>17</v>
      </c>
      <c r="I62" s="98">
        <f t="shared" si="1"/>
        <v>59.87</v>
      </c>
      <c r="J62" s="112">
        <f>ROUND(F62*I62,2)</f>
        <v>2903.7</v>
      </c>
      <c r="K62" s="138"/>
      <c r="L62" s="146"/>
      <c r="M62" s="149"/>
      <c r="N62" s="142"/>
      <c r="O62" s="171"/>
      <c r="P62" s="145"/>
      <c r="Q62" s="1"/>
      <c r="R62" s="137"/>
      <c r="U62" s="6">
        <f>ROUND((452.578/324.82)*35.5,2)</f>
        <v>49.46</v>
      </c>
      <c r="V62" s="6">
        <f>24.25*1*2</f>
        <v>48.5</v>
      </c>
    </row>
    <row r="63" spans="1:22" s="6" customFormat="1" ht="12.75" x14ac:dyDescent="0.2">
      <c r="A63" s="107">
        <v>8</v>
      </c>
      <c r="B63" s="2"/>
      <c r="C63" s="2"/>
      <c r="D63" s="3" t="s">
        <v>102</v>
      </c>
      <c r="E63" s="2"/>
      <c r="F63" s="2"/>
      <c r="G63" s="4"/>
      <c r="H63" s="4"/>
      <c r="I63" s="4"/>
      <c r="J63" s="99">
        <f>SUM(J64:J65)</f>
        <v>949.01</v>
      </c>
      <c r="K63" s="138"/>
      <c r="L63" s="146"/>
      <c r="M63" s="149"/>
      <c r="N63" s="142"/>
      <c r="O63" s="171"/>
      <c r="P63" s="145"/>
      <c r="Q63" s="1"/>
      <c r="R63" s="137"/>
    </row>
    <row r="64" spans="1:22" s="6" customFormat="1" ht="12.75" x14ac:dyDescent="0.2">
      <c r="A64" s="167" t="s">
        <v>224</v>
      </c>
      <c r="B64" s="172" t="s">
        <v>129</v>
      </c>
      <c r="C64" s="168" t="s">
        <v>223</v>
      </c>
      <c r="D64" s="92" t="s">
        <v>108</v>
      </c>
      <c r="E64" s="180" t="s">
        <v>15</v>
      </c>
      <c r="F64" s="170">
        <v>110</v>
      </c>
      <c r="G64" s="186">
        <v>3.39</v>
      </c>
      <c r="H64" s="97" t="s">
        <v>17</v>
      </c>
      <c r="I64" s="98">
        <f t="shared" si="1"/>
        <v>4.0999999999999996</v>
      </c>
      <c r="J64" s="112">
        <f>ROUND(F64*I64,2)</f>
        <v>451</v>
      </c>
      <c r="K64" s="138"/>
      <c r="L64" s="146"/>
      <c r="M64" s="149"/>
      <c r="N64" s="142"/>
      <c r="O64" s="171"/>
      <c r="P64" s="145"/>
      <c r="Q64" s="1"/>
      <c r="R64" s="137"/>
    </row>
    <row r="65" spans="1:20" s="6" customFormat="1" ht="23.25" thickBot="1" x14ac:dyDescent="0.25">
      <c r="A65" s="113" t="s">
        <v>225</v>
      </c>
      <c r="B65" s="173" t="s">
        <v>129</v>
      </c>
      <c r="C65" s="173" t="s">
        <v>229</v>
      </c>
      <c r="D65" s="175" t="s">
        <v>110</v>
      </c>
      <c r="E65" s="176" t="s">
        <v>19</v>
      </c>
      <c r="F65" s="114">
        <v>1</v>
      </c>
      <c r="G65" s="188">
        <v>411.40449999999998</v>
      </c>
      <c r="H65" s="115" t="s">
        <v>17</v>
      </c>
      <c r="I65" s="116">
        <f t="shared" si="1"/>
        <v>498.01</v>
      </c>
      <c r="J65" s="117">
        <f>ROUND(F65*I65,2)</f>
        <v>498.01</v>
      </c>
      <c r="K65" s="138"/>
      <c r="L65" s="146"/>
      <c r="M65" s="149"/>
      <c r="N65" s="142"/>
      <c r="O65" s="171"/>
      <c r="P65" s="145"/>
      <c r="Q65" s="1"/>
      <c r="R65" s="137"/>
    </row>
    <row r="66" spans="1:20" s="6" customFormat="1" ht="12.75" x14ac:dyDescent="0.2">
      <c r="A66" s="74"/>
      <c r="B66" s="75"/>
      <c r="C66" s="75"/>
      <c r="D66" s="76"/>
      <c r="E66" s="75"/>
      <c r="F66" s="77"/>
      <c r="G66" s="78"/>
      <c r="H66" s="79"/>
      <c r="I66" s="80"/>
      <c r="J66" s="152"/>
      <c r="K66" s="142"/>
      <c r="L66" s="81"/>
      <c r="M66" s="142"/>
      <c r="N66" s="142"/>
      <c r="O66" s="82"/>
      <c r="P66" s="153"/>
      <c r="Q66" s="1"/>
      <c r="R66" s="137"/>
    </row>
    <row r="67" spans="1:20" s="81" customFormat="1" thickBot="1" x14ac:dyDescent="0.25">
      <c r="A67" s="154"/>
      <c r="B67" s="155"/>
      <c r="C67" s="155"/>
      <c r="D67" s="156"/>
      <c r="E67" s="155"/>
      <c r="F67" s="157"/>
      <c r="G67" s="158"/>
      <c r="H67" s="159"/>
      <c r="I67" s="160"/>
      <c r="J67" s="161"/>
      <c r="K67" s="162"/>
      <c r="L67" s="162"/>
      <c r="M67" s="162"/>
      <c r="N67" s="162"/>
      <c r="O67" s="163"/>
      <c r="P67" s="163"/>
      <c r="Q67" s="6"/>
      <c r="S67" s="6"/>
      <c r="T67" s="6"/>
    </row>
    <row r="68" spans="1:20" s="6" customFormat="1" ht="13.5" thickBot="1" x14ac:dyDescent="0.25">
      <c r="A68" s="151"/>
      <c r="B68" s="151"/>
      <c r="C68" s="151"/>
      <c r="D68" s="151" t="s">
        <v>21</v>
      </c>
      <c r="E68" s="151"/>
      <c r="F68" s="151"/>
      <c r="G68" s="151"/>
      <c r="H68" s="151"/>
      <c r="I68" s="151"/>
      <c r="J68" s="150">
        <f>SUM(J16,J22,J31,J37,J41,J52,J57,J63)</f>
        <v>72532.51999999999</v>
      </c>
      <c r="K68" s="164"/>
      <c r="L68" s="164"/>
      <c r="M68" s="164"/>
      <c r="N68" s="165">
        <f>SUM(N17:N65)</f>
        <v>0</v>
      </c>
      <c r="O68" s="165">
        <f>SUM(O17:O65)</f>
        <v>0</v>
      </c>
      <c r="P68" s="165">
        <f>SUM(P17:P65)</f>
        <v>0</v>
      </c>
      <c r="R68" s="166">
        <f>P68/J68</f>
        <v>0</v>
      </c>
    </row>
    <row r="69" spans="1:20" s="6" customFormat="1" ht="11.25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20" s="6" customFormat="1" ht="11.25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20" s="6" customFormat="1" ht="11.25" x14ac:dyDescent="0.2">
      <c r="A71" s="73"/>
      <c r="B71" s="73"/>
      <c r="C71" s="73"/>
      <c r="D71" s="23"/>
      <c r="E71" s="189" t="s">
        <v>252</v>
      </c>
      <c r="F71" s="193">
        <f ca="1">TODAY()</f>
        <v>45352</v>
      </c>
      <c r="G71" s="193"/>
      <c r="H71" s="193"/>
      <c r="I71" s="193"/>
      <c r="J71" s="193"/>
    </row>
    <row r="72" spans="1:20" s="6" customFormat="1" ht="11.25" x14ac:dyDescent="0.2">
      <c r="A72" s="73"/>
      <c r="B72" s="73"/>
      <c r="C72" s="73"/>
      <c r="D72" s="23"/>
      <c r="E72" s="126"/>
      <c r="F72" s="179"/>
      <c r="G72" s="179"/>
      <c r="H72" s="179"/>
      <c r="I72" s="179"/>
      <c r="J72" s="179"/>
    </row>
    <row r="73" spans="1:20" s="6" customFormat="1" ht="11.25" x14ac:dyDescent="0.2">
      <c r="A73" s="73"/>
      <c r="B73" s="73"/>
      <c r="C73" s="73"/>
      <c r="D73" s="23"/>
      <c r="E73" s="126"/>
      <c r="F73" s="179"/>
      <c r="G73" s="179"/>
      <c r="H73" s="179"/>
      <c r="I73" s="179"/>
      <c r="J73" s="179"/>
    </row>
    <row r="74" spans="1:20" s="6" customFormat="1" ht="11.25" x14ac:dyDescent="0.2">
      <c r="A74" s="73"/>
      <c r="B74" s="73"/>
      <c r="C74" s="73"/>
      <c r="D74" s="23"/>
      <c r="E74" s="126"/>
      <c r="F74" s="179"/>
      <c r="G74" s="179"/>
      <c r="H74" s="179"/>
      <c r="I74" s="179"/>
      <c r="J74" s="179"/>
    </row>
    <row r="75" spans="1:20" x14ac:dyDescent="0.2">
      <c r="D75" s="17" t="s">
        <v>22</v>
      </c>
    </row>
    <row r="76" spans="1:20" ht="24" x14ac:dyDescent="0.2">
      <c r="D76" s="125" t="s">
        <v>251</v>
      </c>
    </row>
    <row r="77" spans="1:20" x14ac:dyDescent="0.2">
      <c r="D77" s="17"/>
    </row>
    <row r="80" spans="1:20" x14ac:dyDescent="0.2">
      <c r="D80" s="17"/>
    </row>
    <row r="81" spans="4:4" x14ac:dyDescent="0.2">
      <c r="D81" s="17"/>
    </row>
    <row r="82" spans="4:4" x14ac:dyDescent="0.2">
      <c r="D82" s="17"/>
    </row>
  </sheetData>
  <mergeCells count="8">
    <mergeCell ref="N13:P13"/>
    <mergeCell ref="K13:M13"/>
    <mergeCell ref="F71:J71"/>
    <mergeCell ref="D1:J2"/>
    <mergeCell ref="A3:D3"/>
    <mergeCell ref="A4:D4"/>
    <mergeCell ref="A6:D7"/>
    <mergeCell ref="E6:G6"/>
  </mergeCells>
  <phoneticPr fontId="6" type="noConversion"/>
  <pageMargins left="0.511811024" right="0.511811024" top="0.78740157499999996" bottom="0.78740157499999996" header="0.31496062000000002" footer="0.31496062000000002"/>
  <pageSetup paperSize="9" scale="58" fitToHeight="0" orientation="landscape" r:id="rId1"/>
  <ignoredErrors>
    <ignoredError sqref="C44 C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P16" sqref="P16"/>
    </sheetView>
  </sheetViews>
  <sheetFormatPr defaultRowHeight="15" x14ac:dyDescent="0.25"/>
  <cols>
    <col min="5" max="5" width="18.5703125" customWidth="1"/>
    <col min="6" max="6" width="15.140625" customWidth="1"/>
    <col min="8" max="10" width="14.28515625" bestFit="1" customWidth="1"/>
    <col min="11" max="13" width="14.28515625" customWidth="1"/>
  </cols>
  <sheetData>
    <row r="1" spans="1:19" x14ac:dyDescent="0.25">
      <c r="A1" s="215"/>
      <c r="B1" s="209"/>
      <c r="C1" s="208" t="s">
        <v>246</v>
      </c>
      <c r="D1" s="209"/>
      <c r="E1" s="209"/>
      <c r="F1" s="209"/>
      <c r="G1" s="209"/>
      <c r="H1" s="209"/>
      <c r="I1" s="209"/>
      <c r="J1" s="209"/>
      <c r="K1" s="209"/>
      <c r="L1" s="209"/>
      <c r="M1" s="210"/>
      <c r="N1" s="182"/>
      <c r="O1" s="182"/>
      <c r="P1" s="182"/>
      <c r="Q1" s="182"/>
      <c r="R1" s="182"/>
      <c r="S1" s="182"/>
    </row>
    <row r="2" spans="1:19" x14ac:dyDescent="0.25">
      <c r="A2" s="216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2"/>
      <c r="N2" s="182"/>
      <c r="O2" s="182"/>
      <c r="P2" s="182"/>
      <c r="Q2" s="182"/>
      <c r="R2" s="182"/>
      <c r="S2" s="182"/>
    </row>
    <row r="3" spans="1:19" x14ac:dyDescent="0.25">
      <c r="A3" s="216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2"/>
      <c r="N3" s="182"/>
      <c r="O3" s="182"/>
      <c r="P3" s="182"/>
      <c r="Q3" s="182"/>
      <c r="R3" s="182"/>
      <c r="S3" s="182"/>
    </row>
    <row r="4" spans="1:19" ht="15.75" thickBot="1" x14ac:dyDescent="0.3">
      <c r="A4" s="217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182"/>
      <c r="O4" s="182"/>
      <c r="P4" s="182"/>
      <c r="Q4" s="182"/>
      <c r="R4" s="182"/>
      <c r="S4" s="182"/>
    </row>
    <row r="6" spans="1:19" x14ac:dyDescent="0.25">
      <c r="A6" t="s">
        <v>233</v>
      </c>
    </row>
    <row r="7" spans="1:19" x14ac:dyDescent="0.25">
      <c r="A7" t="s">
        <v>235</v>
      </c>
      <c r="C7">
        <v>45</v>
      </c>
      <c r="D7" t="s">
        <v>236</v>
      </c>
    </row>
    <row r="9" spans="1:19" ht="15" customHeight="1" x14ac:dyDescent="0.25">
      <c r="A9" s="221"/>
      <c r="B9" s="222" t="s">
        <v>70</v>
      </c>
      <c r="C9" s="261" t="s">
        <v>71</v>
      </c>
      <c r="D9" s="261"/>
      <c r="E9" s="261"/>
      <c r="F9" s="223" t="s">
        <v>72</v>
      </c>
      <c r="G9" s="207" t="s">
        <v>73</v>
      </c>
      <c r="H9" s="54" t="s">
        <v>80</v>
      </c>
      <c r="I9" s="54" t="s">
        <v>81</v>
      </c>
      <c r="J9" s="54" t="s">
        <v>82</v>
      </c>
      <c r="K9" s="54" t="s">
        <v>83</v>
      </c>
      <c r="L9" s="54" t="s">
        <v>84</v>
      </c>
      <c r="M9" s="54" t="s">
        <v>85</v>
      </c>
    </row>
    <row r="10" spans="1:19" x14ac:dyDescent="0.25">
      <c r="A10" s="221"/>
      <c r="B10" s="222"/>
      <c r="C10" s="262"/>
      <c r="D10" s="262"/>
      <c r="E10" s="262"/>
      <c r="F10" s="223"/>
      <c r="G10" s="207"/>
      <c r="H10" s="55" t="s">
        <v>234</v>
      </c>
      <c r="I10" s="55" t="s">
        <v>234</v>
      </c>
      <c r="J10" s="55" t="s">
        <v>234</v>
      </c>
      <c r="K10" s="55" t="s">
        <v>234</v>
      </c>
      <c r="L10" s="55" t="s">
        <v>234</v>
      </c>
      <c r="M10" s="55" t="s">
        <v>234</v>
      </c>
    </row>
    <row r="11" spans="1:19" x14ac:dyDescent="0.25">
      <c r="B11" s="56" t="s">
        <v>74</v>
      </c>
      <c r="C11" s="220" t="s">
        <v>100</v>
      </c>
      <c r="D11" s="220"/>
      <c r="E11" s="220"/>
      <c r="F11" s="59"/>
      <c r="G11" s="60" t="s">
        <v>75</v>
      </c>
    </row>
    <row r="12" spans="1:19" x14ac:dyDescent="0.25">
      <c r="B12" s="57"/>
      <c r="C12" s="62" t="s">
        <v>64</v>
      </c>
      <c r="D12" s="62"/>
      <c r="E12" s="62"/>
      <c r="F12" s="71">
        <f>SUM(F13:F26)</f>
        <v>0</v>
      </c>
      <c r="G12" s="61"/>
      <c r="H12" s="64" t="e">
        <f>H30/$F$12</f>
        <v>#DIV/0!</v>
      </c>
      <c r="I12" s="64" t="e">
        <f t="shared" ref="I12:M12" si="0">I30/$F$12</f>
        <v>#DIV/0!</v>
      </c>
      <c r="J12" s="64" t="e">
        <f t="shared" si="0"/>
        <v>#DIV/0!</v>
      </c>
      <c r="K12" s="64" t="e">
        <f t="shared" si="0"/>
        <v>#DIV/0!</v>
      </c>
      <c r="L12" s="64" t="e">
        <f t="shared" si="0"/>
        <v>#DIV/0!</v>
      </c>
      <c r="M12" s="64" t="e">
        <f t="shared" si="0"/>
        <v>#DIV/0!</v>
      </c>
    </row>
    <row r="13" spans="1:19" x14ac:dyDescent="0.25">
      <c r="B13" s="56" t="s">
        <v>76</v>
      </c>
      <c r="C13" s="218" t="s">
        <v>25</v>
      </c>
      <c r="D13" s="218"/>
      <c r="E13" s="218"/>
      <c r="F13" s="66"/>
      <c r="G13" s="60" t="s">
        <v>75</v>
      </c>
    </row>
    <row r="14" spans="1:19" x14ac:dyDescent="0.25">
      <c r="B14" s="57"/>
      <c r="C14" s="62" t="s">
        <v>64</v>
      </c>
      <c r="D14" s="62"/>
      <c r="E14" s="62"/>
      <c r="F14" s="65"/>
      <c r="G14" s="61"/>
      <c r="H14" s="67"/>
      <c r="I14" s="68"/>
      <c r="J14" s="68"/>
      <c r="K14" s="68"/>
      <c r="L14" s="68"/>
      <c r="M14" s="68"/>
    </row>
    <row r="15" spans="1:19" x14ac:dyDescent="0.25">
      <c r="B15" s="56" t="s">
        <v>77</v>
      </c>
      <c r="C15" s="218" t="s">
        <v>109</v>
      </c>
      <c r="D15" s="218"/>
      <c r="E15" s="218"/>
      <c r="F15" s="66"/>
      <c r="G15" s="60" t="s">
        <v>75</v>
      </c>
      <c r="H15" s="64"/>
      <c r="I15" s="64"/>
      <c r="J15" s="64"/>
      <c r="K15" s="64"/>
      <c r="L15" s="64"/>
      <c r="M15" s="64"/>
    </row>
    <row r="16" spans="1:19" x14ac:dyDescent="0.25">
      <c r="B16" s="57"/>
      <c r="C16" s="62" t="s">
        <v>64</v>
      </c>
      <c r="D16" s="62"/>
      <c r="E16" s="62"/>
      <c r="F16" s="65"/>
      <c r="G16" s="61"/>
      <c r="H16" s="67"/>
      <c r="I16" s="68"/>
      <c r="J16" s="68"/>
      <c r="K16" s="68"/>
      <c r="L16" s="68"/>
      <c r="M16" s="68"/>
    </row>
    <row r="17" spans="2:13" x14ac:dyDescent="0.25">
      <c r="B17" s="56" t="s">
        <v>78</v>
      </c>
      <c r="C17" s="218" t="s">
        <v>164</v>
      </c>
      <c r="D17" s="218"/>
      <c r="E17" s="218"/>
      <c r="F17" s="66"/>
      <c r="G17" s="60" t="s">
        <v>75</v>
      </c>
      <c r="H17" s="64"/>
      <c r="I17" s="64"/>
      <c r="J17" s="64"/>
      <c r="K17" s="64"/>
      <c r="L17" s="64"/>
      <c r="M17" s="64"/>
    </row>
    <row r="18" spans="2:13" x14ac:dyDescent="0.25">
      <c r="B18" s="57"/>
      <c r="C18" s="62" t="s">
        <v>64</v>
      </c>
      <c r="D18" s="62"/>
      <c r="E18" s="62"/>
      <c r="F18" s="65"/>
      <c r="G18" s="61"/>
      <c r="H18" s="67"/>
      <c r="I18" s="68"/>
      <c r="J18" s="68"/>
      <c r="K18" s="68"/>
      <c r="L18" s="68"/>
      <c r="M18" s="68"/>
    </row>
    <row r="19" spans="2:13" x14ac:dyDescent="0.25">
      <c r="B19" s="56" t="s">
        <v>26</v>
      </c>
      <c r="C19" s="218" t="s">
        <v>131</v>
      </c>
      <c r="D19" s="218"/>
      <c r="E19" s="218"/>
      <c r="F19" s="66"/>
      <c r="G19" s="60" t="s">
        <v>75</v>
      </c>
      <c r="H19" s="64"/>
      <c r="I19" s="64"/>
      <c r="J19" s="64"/>
      <c r="K19" s="64"/>
      <c r="L19" s="64"/>
      <c r="M19" s="64"/>
    </row>
    <row r="20" spans="2:13" x14ac:dyDescent="0.25">
      <c r="B20" s="57"/>
      <c r="C20" s="62" t="s">
        <v>64</v>
      </c>
      <c r="D20" s="62"/>
      <c r="E20" s="62"/>
      <c r="F20" s="65"/>
      <c r="G20" s="61"/>
      <c r="H20" s="67"/>
      <c r="I20" s="68"/>
      <c r="J20" s="68"/>
      <c r="K20" s="68"/>
      <c r="L20" s="68"/>
      <c r="M20" s="68"/>
    </row>
    <row r="21" spans="2:13" x14ac:dyDescent="0.25">
      <c r="B21" s="56" t="s">
        <v>27</v>
      </c>
      <c r="C21" s="218" t="s">
        <v>237</v>
      </c>
      <c r="D21" s="218"/>
      <c r="E21" s="218"/>
      <c r="F21" s="66"/>
      <c r="G21" s="60" t="s">
        <v>75</v>
      </c>
      <c r="H21" s="64"/>
      <c r="I21" s="64"/>
      <c r="J21" s="64"/>
      <c r="K21" s="64"/>
      <c r="L21" s="64"/>
      <c r="M21" s="64"/>
    </row>
    <row r="22" spans="2:13" x14ac:dyDescent="0.25">
      <c r="B22" s="57"/>
      <c r="C22" s="62" t="s">
        <v>64</v>
      </c>
      <c r="D22" s="62"/>
      <c r="E22" s="62"/>
      <c r="F22" s="65"/>
      <c r="G22" s="61"/>
      <c r="H22" s="67"/>
      <c r="I22" s="68"/>
      <c r="J22" s="68"/>
      <c r="K22" s="68"/>
      <c r="L22" s="68"/>
      <c r="M22" s="68"/>
    </row>
    <row r="23" spans="2:13" x14ac:dyDescent="0.25">
      <c r="B23" s="56" t="s">
        <v>79</v>
      </c>
      <c r="C23" s="218" t="s">
        <v>111</v>
      </c>
      <c r="D23" s="218"/>
      <c r="E23" s="218"/>
      <c r="F23" s="66"/>
      <c r="G23" s="60" t="s">
        <v>75</v>
      </c>
      <c r="H23" s="64"/>
      <c r="I23" s="64"/>
      <c r="J23" s="64"/>
      <c r="K23" s="64"/>
      <c r="L23" s="64"/>
      <c r="M23" s="64"/>
    </row>
    <row r="24" spans="2:13" x14ac:dyDescent="0.25">
      <c r="B24" s="57"/>
      <c r="C24" s="62" t="s">
        <v>64</v>
      </c>
      <c r="D24" s="62"/>
      <c r="E24" s="62"/>
      <c r="F24" s="65"/>
      <c r="G24" s="61"/>
      <c r="H24" s="67"/>
      <c r="I24" s="68"/>
      <c r="J24" s="68"/>
      <c r="K24" s="68"/>
      <c r="L24" s="68"/>
      <c r="M24" s="68"/>
    </row>
    <row r="25" spans="2:13" x14ac:dyDescent="0.25">
      <c r="B25" s="56" t="s">
        <v>28</v>
      </c>
      <c r="C25" s="218" t="s">
        <v>101</v>
      </c>
      <c r="D25" s="218"/>
      <c r="E25" s="218"/>
      <c r="F25" s="66"/>
      <c r="G25" s="60" t="s">
        <v>75</v>
      </c>
      <c r="H25" s="64"/>
      <c r="I25" s="64"/>
      <c r="J25" s="64"/>
      <c r="K25" s="64"/>
      <c r="L25" s="64"/>
      <c r="M25" s="64"/>
    </row>
    <row r="26" spans="2:13" x14ac:dyDescent="0.25">
      <c r="B26" s="57"/>
      <c r="C26" s="58" t="s">
        <v>64</v>
      </c>
      <c r="D26" s="58"/>
      <c r="E26" s="58"/>
      <c r="F26" s="65"/>
      <c r="G26" s="63"/>
      <c r="H26" s="67"/>
      <c r="I26" s="68"/>
      <c r="J26" s="68"/>
      <c r="K26" s="68"/>
      <c r="L26" s="68"/>
      <c r="M26" s="68"/>
    </row>
    <row r="27" spans="2:13" x14ac:dyDescent="0.25">
      <c r="B27" s="56" t="s">
        <v>238</v>
      </c>
      <c r="C27" s="218" t="s">
        <v>102</v>
      </c>
      <c r="D27" s="218"/>
      <c r="E27" s="218"/>
      <c r="F27" s="66"/>
      <c r="G27" s="60" t="s">
        <v>75</v>
      </c>
      <c r="H27" s="64"/>
      <c r="I27" s="64"/>
      <c r="J27" s="64"/>
      <c r="K27" s="64"/>
      <c r="L27" s="64"/>
      <c r="M27" s="64"/>
    </row>
    <row r="28" spans="2:13" x14ac:dyDescent="0.25">
      <c r="B28" s="57"/>
      <c r="C28" s="58" t="s">
        <v>64</v>
      </c>
      <c r="D28" s="58"/>
      <c r="E28" s="58"/>
      <c r="F28" s="65"/>
      <c r="G28" s="63"/>
      <c r="H28" s="67"/>
      <c r="I28" s="68"/>
      <c r="J28" s="68"/>
      <c r="K28" s="68"/>
      <c r="L28" s="68"/>
      <c r="M28" s="68"/>
    </row>
    <row r="29" spans="2:13" x14ac:dyDescent="0.25">
      <c r="B29" s="56" t="s">
        <v>40</v>
      </c>
      <c r="C29" s="218" t="s">
        <v>21</v>
      </c>
      <c r="D29" s="218"/>
      <c r="E29" s="218"/>
      <c r="F29" s="69"/>
      <c r="G29" s="60" t="s">
        <v>86</v>
      </c>
    </row>
    <row r="30" spans="2:13" x14ac:dyDescent="0.25">
      <c r="B30" s="57"/>
      <c r="C30" s="58"/>
      <c r="D30" s="58"/>
      <c r="E30" s="58"/>
      <c r="F30" s="71">
        <f>SUM(H30:J30)</f>
        <v>0</v>
      </c>
      <c r="G30" s="72"/>
      <c r="H30" s="70">
        <f>SUM($F$14*H14,$F$16*H16,$F$18*H18,$F$20*H20,$F$22*H22,$F$24*H24,$F$26*H26,$F$28*H28)</f>
        <v>0</v>
      </c>
      <c r="I30" s="70">
        <f t="shared" ref="I30:M30" si="1">SUM($F$14*I14,$F$16*I16,$F$18*I18,$F$20*I20,$F$22*I22,$F$24*I24,$F$26*I26,$F$28*I28)</f>
        <v>0</v>
      </c>
      <c r="J30" s="70">
        <f t="shared" si="1"/>
        <v>0</v>
      </c>
      <c r="K30" s="70">
        <f t="shared" si="1"/>
        <v>0</v>
      </c>
      <c r="L30" s="70">
        <f t="shared" si="1"/>
        <v>0</v>
      </c>
      <c r="M30" s="70">
        <f t="shared" si="1"/>
        <v>0</v>
      </c>
    </row>
    <row r="34" spans="3:12" x14ac:dyDescent="0.25">
      <c r="C34" s="225"/>
      <c r="D34" s="225"/>
      <c r="E34" s="225"/>
      <c r="F34" s="225"/>
      <c r="G34" s="30"/>
      <c r="H34" s="30"/>
      <c r="I34" s="226">
        <f ca="1">TODAY()</f>
        <v>45352</v>
      </c>
      <c r="J34" s="226"/>
      <c r="K34" s="226"/>
      <c r="L34" s="226"/>
    </row>
    <row r="35" spans="3:12" x14ac:dyDescent="0.25">
      <c r="C35" s="227" t="s">
        <v>52</v>
      </c>
      <c r="D35" s="227"/>
      <c r="E35" s="227"/>
      <c r="F35" s="227"/>
      <c r="G35" s="30"/>
      <c r="H35" s="40"/>
      <c r="I35" s="41" t="s">
        <v>53</v>
      </c>
      <c r="J35" s="42"/>
      <c r="K35" s="42"/>
      <c r="L35" s="42"/>
    </row>
    <row r="36" spans="3:12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3:12" x14ac:dyDescent="0.25">
      <c r="C37" s="219"/>
      <c r="D37" s="219"/>
      <c r="E37" s="219"/>
      <c r="F37" s="219"/>
      <c r="G37" s="43"/>
      <c r="H37" s="30"/>
    </row>
    <row r="38" spans="3:12" x14ac:dyDescent="0.25">
      <c r="C38" s="224" t="s">
        <v>247</v>
      </c>
      <c r="D38" s="224"/>
      <c r="E38" s="224"/>
      <c r="F38" s="224"/>
      <c r="G38" s="44"/>
      <c r="H38" s="30"/>
    </row>
    <row r="39" spans="3:12" x14ac:dyDescent="0.25">
      <c r="C39" s="53" t="s">
        <v>248</v>
      </c>
      <c r="D39" s="46"/>
      <c r="E39" s="47"/>
      <c r="F39" s="47"/>
      <c r="G39" s="48"/>
      <c r="H39" s="30"/>
    </row>
  </sheetData>
  <mergeCells count="22">
    <mergeCell ref="C9:E10"/>
    <mergeCell ref="C38:F38"/>
    <mergeCell ref="C25:E25"/>
    <mergeCell ref="C29:E29"/>
    <mergeCell ref="C34:F34"/>
    <mergeCell ref="I34:L34"/>
    <mergeCell ref="C35:F35"/>
    <mergeCell ref="G9:G10"/>
    <mergeCell ref="C1:M4"/>
    <mergeCell ref="A1:B4"/>
    <mergeCell ref="C27:E27"/>
    <mergeCell ref="C37:F37"/>
    <mergeCell ref="C13:E13"/>
    <mergeCell ref="C15:E15"/>
    <mergeCell ref="C17:E17"/>
    <mergeCell ref="C19:E19"/>
    <mergeCell ref="C21:E21"/>
    <mergeCell ref="C23:E23"/>
    <mergeCell ref="C11:E11"/>
    <mergeCell ref="A9:A10"/>
    <mergeCell ref="B9:B10"/>
    <mergeCell ref="F9:F10"/>
  </mergeCells>
  <conditionalFormatting sqref="B16:F16 B14:F14 B12:E12 B26:F26">
    <cfRule type="expression" dxfId="25" priority="19" stopIfTrue="1">
      <formula>$L11=2</formula>
    </cfRule>
    <cfRule type="expression" dxfId="24" priority="20" stopIfTrue="1">
      <formula>AND($L11=1,$R11&lt;&gt;"")</formula>
    </cfRule>
  </conditionalFormatting>
  <conditionalFormatting sqref="B15:C15 B13:C13 B11:C11 F11 F13 F15">
    <cfRule type="expression" dxfId="23" priority="21" stopIfTrue="1">
      <formula>$L11=2</formula>
    </cfRule>
    <cfRule type="expression" dxfId="22" priority="22" stopIfTrue="1">
      <formula>AND($L11=1,$R11&lt;&gt;"")</formula>
    </cfRule>
  </conditionalFormatting>
  <conditionalFormatting sqref="B22:F22 B20:F20 B18:F18">
    <cfRule type="expression" dxfId="21" priority="15" stopIfTrue="1">
      <formula>$L17=2</formula>
    </cfRule>
    <cfRule type="expression" dxfId="20" priority="16" stopIfTrue="1">
      <formula>AND($L17=1,$R17&lt;&gt;"")</formula>
    </cfRule>
  </conditionalFormatting>
  <conditionalFormatting sqref="B21:C21 B19:C19 B17:C17 F17 F19 F21">
    <cfRule type="expression" dxfId="19" priority="17" stopIfTrue="1">
      <formula>$L17=2</formula>
    </cfRule>
    <cfRule type="expression" dxfId="18" priority="18" stopIfTrue="1">
      <formula>AND($L17=1,$R17&lt;&gt;"")</formula>
    </cfRule>
  </conditionalFormatting>
  <conditionalFormatting sqref="B24:F24">
    <cfRule type="expression" dxfId="17" priority="11" stopIfTrue="1">
      <formula>$L23=2</formula>
    </cfRule>
    <cfRule type="expression" dxfId="16" priority="12" stopIfTrue="1">
      <formula>AND($L23=1,$R23&lt;&gt;"")</formula>
    </cfRule>
  </conditionalFormatting>
  <conditionalFormatting sqref="B25:C25 B23:C23 F23 F25">
    <cfRule type="expression" dxfId="15" priority="13" stopIfTrue="1">
      <formula>$L23=2</formula>
    </cfRule>
    <cfRule type="expression" dxfId="14" priority="14" stopIfTrue="1">
      <formula>AND($L23=1,$R23&lt;&gt;"")</formula>
    </cfRule>
  </conditionalFormatting>
  <conditionalFormatting sqref="F12">
    <cfRule type="expression" dxfId="13" priority="9" stopIfTrue="1">
      <formula>$L11=2</formula>
    </cfRule>
    <cfRule type="expression" dxfId="12" priority="10" stopIfTrue="1">
      <formula>AND($L11=1,$R11&lt;&gt;"")</formula>
    </cfRule>
  </conditionalFormatting>
  <conditionalFormatting sqref="B30:F30">
    <cfRule type="expression" dxfId="11" priority="5" stopIfTrue="1">
      <formula>$L29=2</formula>
    </cfRule>
    <cfRule type="expression" dxfId="10" priority="6" stopIfTrue="1">
      <formula>AND($L29=1,$R29&lt;&gt;"")</formula>
    </cfRule>
  </conditionalFormatting>
  <conditionalFormatting sqref="B29:C29 F29">
    <cfRule type="expression" dxfId="9" priority="7" stopIfTrue="1">
      <formula>$L29=2</formula>
    </cfRule>
    <cfRule type="expression" dxfId="8" priority="8" stopIfTrue="1">
      <formula>AND($L29=1,$R29&lt;&gt;"")</formula>
    </cfRule>
  </conditionalFormatting>
  <conditionalFormatting sqref="B28:F28">
    <cfRule type="expression" dxfId="7" priority="3" stopIfTrue="1">
      <formula>$L27=2</formula>
    </cfRule>
    <cfRule type="expression" dxfId="6" priority="4" stopIfTrue="1">
      <formula>AND($L27=1,$R27&lt;&gt;"")</formula>
    </cfRule>
  </conditionalFormatting>
  <conditionalFormatting sqref="B27:C27 F27">
    <cfRule type="expression" dxfId="5" priority="1" stopIfTrue="1">
      <formula>$L27=2</formula>
    </cfRule>
    <cfRule type="expression" dxfId="4" priority="2" stopIfTrue="1">
      <formula>AND($L27=1,$R27&lt;&gt;"")</formula>
    </cfRule>
  </conditionalFormatting>
  <pageMargins left="0.511811024" right="0.511811024" top="0.78740157499999996" bottom="0.78740157499999996" header="0.31496062000000002" footer="0.31496062000000002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workbookViewId="0">
      <selection activeCell="M34" sqref="M34"/>
    </sheetView>
  </sheetViews>
  <sheetFormatPr defaultRowHeight="15" x14ac:dyDescent="0.25"/>
  <sheetData>
    <row r="1" spans="1:10" x14ac:dyDescent="0.25">
      <c r="A1" s="215"/>
      <c r="B1" s="209"/>
      <c r="C1" s="208" t="s">
        <v>249</v>
      </c>
      <c r="D1" s="209"/>
      <c r="E1" s="209"/>
      <c r="F1" s="209"/>
      <c r="G1" s="209"/>
      <c r="H1" s="209"/>
      <c r="I1" s="209"/>
      <c r="J1" s="210"/>
    </row>
    <row r="2" spans="1:10" x14ac:dyDescent="0.25">
      <c r="A2" s="216"/>
      <c r="B2" s="211"/>
      <c r="C2" s="211"/>
      <c r="D2" s="211"/>
      <c r="E2" s="211"/>
      <c r="F2" s="211"/>
      <c r="G2" s="211"/>
      <c r="H2" s="211"/>
      <c r="I2" s="211"/>
      <c r="J2" s="212"/>
    </row>
    <row r="3" spans="1:10" x14ac:dyDescent="0.25">
      <c r="A3" s="216"/>
      <c r="B3" s="211"/>
      <c r="C3" s="211"/>
      <c r="D3" s="211"/>
      <c r="E3" s="211"/>
      <c r="F3" s="211"/>
      <c r="G3" s="211"/>
      <c r="H3" s="211"/>
      <c r="I3" s="211"/>
      <c r="J3" s="212"/>
    </row>
    <row r="4" spans="1:10" x14ac:dyDescent="0.25">
      <c r="A4" s="216"/>
      <c r="B4" s="211"/>
      <c r="C4" s="211"/>
      <c r="D4" s="211"/>
      <c r="E4" s="211"/>
      <c r="F4" s="211"/>
      <c r="G4" s="211"/>
      <c r="H4" s="211"/>
      <c r="I4" s="211"/>
      <c r="J4" s="212"/>
    </row>
    <row r="5" spans="1:10" x14ac:dyDescent="0.25">
      <c r="A5" s="216"/>
      <c r="B5" s="211"/>
      <c r="C5" s="211"/>
      <c r="D5" s="211"/>
      <c r="E5" s="211"/>
      <c r="F5" s="211"/>
      <c r="G5" s="211"/>
      <c r="H5" s="211"/>
      <c r="I5" s="211"/>
      <c r="J5" s="212"/>
    </row>
    <row r="6" spans="1:10" ht="15.75" thickBot="1" x14ac:dyDescent="0.3">
      <c r="A6" s="217"/>
      <c r="B6" s="213"/>
      <c r="C6" s="213"/>
      <c r="D6" s="213"/>
      <c r="E6" s="213"/>
      <c r="F6" s="213"/>
      <c r="G6" s="213"/>
      <c r="H6" s="213"/>
      <c r="I6" s="213"/>
      <c r="J6" s="214"/>
    </row>
    <row r="7" spans="1:10" x14ac:dyDescent="0.25">
      <c r="A7" s="230" t="s">
        <v>31</v>
      </c>
      <c r="B7" s="230"/>
      <c r="C7" s="230"/>
      <c r="D7" s="230"/>
      <c r="E7" s="230"/>
      <c r="F7" s="230"/>
      <c r="G7" s="230"/>
      <c r="H7" s="230"/>
      <c r="I7" s="230"/>
      <c r="J7" s="230"/>
    </row>
    <row r="8" spans="1:10" ht="28.5" customHeight="1" x14ac:dyDescent="0.25">
      <c r="A8" s="231" t="s">
        <v>233</v>
      </c>
      <c r="B8" s="231"/>
      <c r="C8" s="231"/>
      <c r="D8" s="231"/>
      <c r="E8" s="231"/>
      <c r="F8" s="231"/>
      <c r="G8" s="231"/>
      <c r="H8" s="231"/>
      <c r="I8" s="231"/>
      <c r="J8" s="231"/>
    </row>
    <row r="9" spans="1:10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25">
      <c r="A10" s="232" t="s">
        <v>68</v>
      </c>
      <c r="B10" s="232"/>
      <c r="C10" s="232"/>
      <c r="D10" s="232"/>
      <c r="E10" s="232"/>
      <c r="F10" s="232"/>
      <c r="G10" s="232"/>
      <c r="H10" s="232"/>
      <c r="I10" s="229">
        <v>0.25</v>
      </c>
      <c r="J10" s="229"/>
    </row>
    <row r="11" spans="1:10" x14ac:dyDescent="0.25">
      <c r="A11" s="228" t="s">
        <v>32</v>
      </c>
      <c r="B11" s="228"/>
      <c r="C11" s="228"/>
      <c r="D11" s="228"/>
      <c r="E11" s="228"/>
      <c r="F11" s="228"/>
      <c r="G11" s="228"/>
      <c r="H11" s="228"/>
      <c r="I11" s="229">
        <v>0.03</v>
      </c>
      <c r="J11" s="229"/>
    </row>
    <row r="12" spans="1:10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5.75" x14ac:dyDescent="0.25">
      <c r="A14" s="233" t="s">
        <v>17</v>
      </c>
      <c r="B14" s="233"/>
      <c r="C14" s="233"/>
      <c r="D14" s="233"/>
      <c r="E14" s="233"/>
      <c r="F14" s="233"/>
      <c r="G14" s="233"/>
      <c r="H14" s="233"/>
      <c r="I14" s="233"/>
      <c r="J14" s="233"/>
    </row>
    <row r="15" spans="1:10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5">
      <c r="A16" s="230" t="s">
        <v>33</v>
      </c>
      <c r="B16" s="230"/>
      <c r="C16" s="230"/>
      <c r="D16" s="230"/>
      <c r="E16" s="230"/>
      <c r="F16" s="230"/>
      <c r="G16" s="230"/>
      <c r="H16" s="230"/>
      <c r="I16" s="230"/>
      <c r="J16" s="230"/>
    </row>
    <row r="17" spans="1:14" x14ac:dyDescent="0.25">
      <c r="A17" s="234" t="s">
        <v>232</v>
      </c>
      <c r="B17" s="234"/>
      <c r="C17" s="234"/>
      <c r="D17" s="234"/>
      <c r="E17" s="234"/>
      <c r="F17" s="234"/>
      <c r="G17" s="234"/>
      <c r="H17" s="234"/>
      <c r="I17" s="234"/>
      <c r="J17" s="234"/>
    </row>
    <row r="18" spans="1:14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4" ht="15" customHeight="1" x14ac:dyDescent="0.25">
      <c r="A19" s="235" t="s">
        <v>34</v>
      </c>
      <c r="B19" s="236"/>
      <c r="C19" s="236"/>
      <c r="D19" s="236"/>
      <c r="E19" s="236"/>
      <c r="F19" s="236"/>
      <c r="G19" s="236"/>
      <c r="H19" s="237"/>
      <c r="I19" s="241" t="s">
        <v>35</v>
      </c>
      <c r="J19" s="243" t="s">
        <v>36</v>
      </c>
      <c r="L19" s="248" t="s">
        <v>37</v>
      </c>
      <c r="M19" s="248" t="s">
        <v>38</v>
      </c>
      <c r="N19" s="248" t="s">
        <v>39</v>
      </c>
    </row>
    <row r="20" spans="1:14" x14ac:dyDescent="0.25">
      <c r="A20" s="238"/>
      <c r="B20" s="239"/>
      <c r="C20" s="239"/>
      <c r="D20" s="239"/>
      <c r="E20" s="239"/>
      <c r="F20" s="239"/>
      <c r="G20" s="239"/>
      <c r="H20" s="240"/>
      <c r="I20" s="242"/>
      <c r="J20" s="244"/>
      <c r="L20" s="248"/>
      <c r="M20" s="248"/>
      <c r="N20" s="248"/>
    </row>
    <row r="21" spans="1:14" ht="15" customHeight="1" x14ac:dyDescent="0.25">
      <c r="A21" s="245" t="s">
        <v>54</v>
      </c>
      <c r="B21" s="246"/>
      <c r="C21" s="246"/>
      <c r="D21" s="246"/>
      <c r="E21" s="246"/>
      <c r="F21" s="246"/>
      <c r="G21" s="246"/>
      <c r="H21" s="247"/>
      <c r="I21" s="31" t="s">
        <v>55</v>
      </c>
      <c r="J21" s="32"/>
      <c r="L21" s="33">
        <v>0.03</v>
      </c>
      <c r="M21" s="33">
        <v>0.04</v>
      </c>
      <c r="N21" s="33">
        <v>5.5E-2</v>
      </c>
    </row>
    <row r="22" spans="1:14" ht="15" customHeight="1" x14ac:dyDescent="0.25">
      <c r="A22" s="245" t="s">
        <v>56</v>
      </c>
      <c r="B22" s="246"/>
      <c r="C22" s="246"/>
      <c r="D22" s="246"/>
      <c r="E22" s="246"/>
      <c r="F22" s="246"/>
      <c r="G22" s="246"/>
      <c r="H22" s="247"/>
      <c r="I22" s="31" t="s">
        <v>57</v>
      </c>
      <c r="J22" s="32"/>
      <c r="L22" s="33">
        <v>8.0000000000000002E-3</v>
      </c>
      <c r="M22" s="33">
        <v>8.0000000000000002E-3</v>
      </c>
      <c r="N22" s="33">
        <v>0.01</v>
      </c>
    </row>
    <row r="23" spans="1:14" x14ac:dyDescent="0.25">
      <c r="A23" s="245" t="s">
        <v>58</v>
      </c>
      <c r="B23" s="246"/>
      <c r="C23" s="246"/>
      <c r="D23" s="246"/>
      <c r="E23" s="246"/>
      <c r="F23" s="246"/>
      <c r="G23" s="246"/>
      <c r="H23" s="247"/>
      <c r="I23" s="31" t="s">
        <v>59</v>
      </c>
      <c r="J23" s="32"/>
      <c r="L23" s="33">
        <v>9.7000000000000003E-3</v>
      </c>
      <c r="M23" s="33">
        <v>1.2699999999999999E-2</v>
      </c>
      <c r="N23" s="33">
        <v>1.2699999999999999E-2</v>
      </c>
    </row>
    <row r="24" spans="1:14" ht="15" customHeight="1" x14ac:dyDescent="0.25">
      <c r="A24" s="245" t="s">
        <v>60</v>
      </c>
      <c r="B24" s="246"/>
      <c r="C24" s="246"/>
      <c r="D24" s="246"/>
      <c r="E24" s="246"/>
      <c r="F24" s="246"/>
      <c r="G24" s="246"/>
      <c r="H24" s="247"/>
      <c r="I24" s="31" t="s">
        <v>61</v>
      </c>
      <c r="J24" s="32"/>
      <c r="L24" s="33">
        <v>5.8999999999999999E-3</v>
      </c>
      <c r="M24" s="33">
        <v>1.23E-2</v>
      </c>
      <c r="N24" s="33">
        <v>1.3899999999999999E-2</v>
      </c>
    </row>
    <row r="25" spans="1:14" x14ac:dyDescent="0.25">
      <c r="A25" s="245" t="s">
        <v>62</v>
      </c>
      <c r="B25" s="246"/>
      <c r="C25" s="246"/>
      <c r="D25" s="246"/>
      <c r="E25" s="246"/>
      <c r="F25" s="246"/>
      <c r="G25" s="246"/>
      <c r="H25" s="247"/>
      <c r="I25" s="31" t="s">
        <v>63</v>
      </c>
      <c r="J25" s="32"/>
      <c r="L25" s="33">
        <v>6.1600000000000002E-2</v>
      </c>
      <c r="M25" s="33">
        <v>7.400000000000001E-2</v>
      </c>
      <c r="N25" s="33">
        <v>8.9600000000000013E-2</v>
      </c>
    </row>
    <row r="26" spans="1:14" ht="15" customHeight="1" x14ac:dyDescent="0.25">
      <c r="A26" s="245" t="s">
        <v>41</v>
      </c>
      <c r="B26" s="246"/>
      <c r="C26" s="246"/>
      <c r="D26" s="246"/>
      <c r="E26" s="246"/>
      <c r="F26" s="246"/>
      <c r="G26" s="246"/>
      <c r="H26" s="247"/>
      <c r="I26" s="31" t="s">
        <v>42</v>
      </c>
      <c r="J26" s="32"/>
      <c r="L26" s="33">
        <v>3.6499999999999998E-2</v>
      </c>
      <c r="M26" s="33">
        <v>3.6499999999999998E-2</v>
      </c>
      <c r="N26" s="33">
        <v>3.6499999999999998E-2</v>
      </c>
    </row>
    <row r="27" spans="1:14" ht="15" customHeight="1" x14ac:dyDescent="0.25">
      <c r="A27" s="245" t="s">
        <v>43</v>
      </c>
      <c r="B27" s="246"/>
      <c r="C27" s="246"/>
      <c r="D27" s="246"/>
      <c r="E27" s="246"/>
      <c r="F27" s="246"/>
      <c r="G27" s="246"/>
      <c r="H27" s="247"/>
      <c r="I27" s="31" t="s">
        <v>44</v>
      </c>
      <c r="J27" s="33">
        <f>I10*I11</f>
        <v>7.4999999999999997E-3</v>
      </c>
      <c r="L27" s="33">
        <v>0</v>
      </c>
      <c r="M27" s="33">
        <v>2.5000000000000001E-2</v>
      </c>
      <c r="N27" s="33">
        <v>0.05</v>
      </c>
    </row>
    <row r="28" spans="1:14" ht="15" customHeight="1" x14ac:dyDescent="0.25">
      <c r="A28" s="245" t="s">
        <v>45</v>
      </c>
      <c r="B28" s="246"/>
      <c r="C28" s="246"/>
      <c r="D28" s="246"/>
      <c r="E28" s="246"/>
      <c r="F28" s="246"/>
      <c r="G28" s="246"/>
      <c r="H28" s="247"/>
      <c r="I28" s="31" t="s">
        <v>46</v>
      </c>
      <c r="J28" s="32"/>
      <c r="L28" s="34">
        <v>0</v>
      </c>
      <c r="M28" s="34">
        <v>4.4999999999999998E-2</v>
      </c>
      <c r="N28" s="34">
        <v>4.4999999999999998E-2</v>
      </c>
    </row>
    <row r="29" spans="1:14" ht="28.5" customHeight="1" x14ac:dyDescent="0.25">
      <c r="A29" s="245" t="s">
        <v>47</v>
      </c>
      <c r="B29" s="246"/>
      <c r="C29" s="246"/>
      <c r="D29" s="246"/>
      <c r="E29" s="246"/>
      <c r="F29" s="246"/>
      <c r="G29" s="246"/>
      <c r="H29" s="247"/>
      <c r="I29" s="35" t="s">
        <v>48</v>
      </c>
      <c r="J29" s="33">
        <f>ROUND((((1+J21+J22+J23)*(1+J24)*(1+J25)/(1-(J26+J27+J28)))-1),4)</f>
        <v>7.6E-3</v>
      </c>
      <c r="L29" s="33">
        <v>0.2034</v>
      </c>
      <c r="M29" s="33">
        <v>0.22120000000000001</v>
      </c>
      <c r="N29" s="33">
        <v>0.25</v>
      </c>
    </row>
    <row r="30" spans="1:14" x14ac:dyDescent="0.25">
      <c r="A30" s="251"/>
      <c r="B30" s="251"/>
      <c r="C30" s="251"/>
      <c r="D30" s="251"/>
      <c r="E30" s="251"/>
      <c r="F30" s="251"/>
      <c r="G30" s="251"/>
      <c r="H30" s="251"/>
      <c r="I30" s="36"/>
      <c r="J30" s="37"/>
    </row>
    <row r="31" spans="1:14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4" ht="30.75" customHeight="1" x14ac:dyDescent="0.25">
      <c r="A32" s="252" t="s">
        <v>69</v>
      </c>
      <c r="B32" s="252"/>
      <c r="C32" s="252"/>
      <c r="D32" s="252"/>
      <c r="E32" s="252"/>
      <c r="F32" s="252"/>
      <c r="G32" s="252"/>
      <c r="H32" s="252"/>
      <c r="I32" s="252"/>
      <c r="J32" s="252"/>
    </row>
    <row r="33" spans="1:10" ht="15.75" x14ac:dyDescent="0.25">
      <c r="A33" s="38"/>
      <c r="B33" s="38"/>
      <c r="C33" s="38"/>
      <c r="D33" s="49"/>
      <c r="E33" s="253"/>
      <c r="F33" s="253"/>
      <c r="G33" s="253"/>
      <c r="H33" s="50"/>
      <c r="I33" s="38"/>
      <c r="J33" s="38"/>
    </row>
    <row r="34" spans="1:10" ht="15.75" customHeight="1" x14ac:dyDescent="0.25">
      <c r="A34" s="38"/>
      <c r="B34" s="254" t="s">
        <v>49</v>
      </c>
      <c r="C34" s="255" t="s">
        <v>65</v>
      </c>
      <c r="D34" s="255"/>
      <c r="E34" s="255"/>
      <c r="F34" s="255"/>
      <c r="G34" s="256" t="s">
        <v>50</v>
      </c>
      <c r="H34" s="52"/>
      <c r="I34" s="38"/>
      <c r="J34" s="38"/>
    </row>
    <row r="35" spans="1:10" ht="15.75" customHeight="1" x14ac:dyDescent="0.25">
      <c r="A35" s="38"/>
      <c r="B35" s="254"/>
      <c r="C35" s="257" t="s">
        <v>51</v>
      </c>
      <c r="D35" s="257"/>
      <c r="E35" s="257"/>
      <c r="F35" s="257"/>
      <c r="G35" s="256"/>
      <c r="H35" s="52"/>
      <c r="I35" s="38"/>
      <c r="J35" s="38"/>
    </row>
    <row r="36" spans="1:10" ht="15.75" x14ac:dyDescent="0.25">
      <c r="A36" s="38"/>
      <c r="B36" s="38"/>
      <c r="C36" s="38"/>
      <c r="D36" s="49"/>
      <c r="E36" s="51"/>
      <c r="F36" s="51"/>
      <c r="G36" s="51"/>
      <c r="H36" s="50"/>
      <c r="I36" s="38"/>
      <c r="J36" s="38"/>
    </row>
    <row r="37" spans="1:10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32.25" customHeight="1" x14ac:dyDescent="0.25">
      <c r="A38" s="258" t="s">
        <v>66</v>
      </c>
      <c r="B38" s="258"/>
      <c r="C38" s="258"/>
      <c r="D38" s="258"/>
      <c r="E38" s="258"/>
      <c r="F38" s="258"/>
      <c r="G38" s="258"/>
      <c r="H38" s="258"/>
      <c r="I38" s="258"/>
      <c r="J38" s="258"/>
    </row>
    <row r="39" spans="1:10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0" ht="48" customHeight="1" x14ac:dyDescent="0.25">
      <c r="A40" s="258" t="s">
        <v>67</v>
      </c>
      <c r="B40" s="258"/>
      <c r="C40" s="258"/>
      <c r="D40" s="258"/>
      <c r="E40" s="258"/>
      <c r="F40" s="258"/>
      <c r="G40" s="258"/>
      <c r="H40" s="258"/>
      <c r="I40" s="258"/>
      <c r="J40" s="258"/>
    </row>
    <row r="41" spans="1:10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x14ac:dyDescent="0.25">
      <c r="A43" s="225"/>
      <c r="B43" s="225"/>
      <c r="C43" s="225"/>
      <c r="D43" s="225"/>
      <c r="E43" s="30"/>
      <c r="F43" s="30"/>
      <c r="G43" s="226">
        <f ca="1">TODAY()</f>
        <v>45352</v>
      </c>
      <c r="H43" s="226"/>
      <c r="I43" s="226"/>
      <c r="J43" s="226"/>
    </row>
    <row r="44" spans="1:10" x14ac:dyDescent="0.25">
      <c r="A44" s="227" t="s">
        <v>52</v>
      </c>
      <c r="B44" s="227"/>
      <c r="C44" s="227"/>
      <c r="D44" s="227"/>
      <c r="E44" s="30"/>
      <c r="F44" s="40"/>
      <c r="G44" s="41" t="s">
        <v>53</v>
      </c>
      <c r="H44" s="42"/>
      <c r="I44" s="42"/>
      <c r="J44" s="42"/>
    </row>
    <row r="45" spans="1:10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6" spans="1:10" x14ac:dyDescent="0.25">
      <c r="A46" s="249"/>
      <c r="B46" s="249"/>
      <c r="C46" s="249"/>
      <c r="D46" s="249"/>
      <c r="E46" s="43"/>
      <c r="F46" s="30"/>
      <c r="G46" s="30"/>
      <c r="H46" s="30"/>
      <c r="I46" s="30"/>
      <c r="J46" s="30"/>
    </row>
    <row r="47" spans="1:10" x14ac:dyDescent="0.25">
      <c r="A47" s="250" t="s">
        <v>247</v>
      </c>
      <c r="B47" s="250"/>
      <c r="C47" s="250"/>
      <c r="D47" s="250"/>
      <c r="E47" s="250"/>
      <c r="F47" s="30"/>
      <c r="G47" s="30"/>
      <c r="H47" s="30"/>
      <c r="I47" s="30"/>
      <c r="J47" s="30"/>
    </row>
    <row r="48" spans="1:10" x14ac:dyDescent="0.25">
      <c r="A48" s="53" t="s">
        <v>248</v>
      </c>
      <c r="B48" s="46"/>
      <c r="C48" s="47"/>
      <c r="D48" s="47"/>
      <c r="E48" s="48"/>
      <c r="F48" s="30"/>
      <c r="G48" s="30"/>
      <c r="H48" s="30"/>
      <c r="I48" s="30"/>
      <c r="J48" s="30"/>
    </row>
    <row r="49" spans="1:10" x14ac:dyDescent="0.25">
      <c r="A49" s="45"/>
      <c r="B49" s="46"/>
      <c r="C49" s="47"/>
      <c r="D49" s="47"/>
      <c r="E49" s="48"/>
      <c r="F49" s="30"/>
      <c r="G49" s="30"/>
      <c r="H49" s="30"/>
      <c r="I49" s="30"/>
      <c r="J49" s="30"/>
    </row>
    <row r="50" spans="1:10" x14ac:dyDescent="0.25">
      <c r="A50" s="45"/>
      <c r="B50" s="46"/>
      <c r="C50" s="47"/>
      <c r="D50" s="47"/>
      <c r="E50" s="48"/>
      <c r="F50" s="30"/>
      <c r="G50" s="30"/>
      <c r="H50" s="30"/>
      <c r="I50" s="30"/>
      <c r="J50" s="30"/>
    </row>
  </sheetData>
  <mergeCells count="40">
    <mergeCell ref="A46:D46"/>
    <mergeCell ref="A47:E47"/>
    <mergeCell ref="A30:H30"/>
    <mergeCell ref="A32:J32"/>
    <mergeCell ref="E33:G33"/>
    <mergeCell ref="B34:B35"/>
    <mergeCell ref="C34:F34"/>
    <mergeCell ref="G34:G35"/>
    <mergeCell ref="C35:F35"/>
    <mergeCell ref="A38:J38"/>
    <mergeCell ref="A40:J40"/>
    <mergeCell ref="A43:D43"/>
    <mergeCell ref="G43:J43"/>
    <mergeCell ref="A44:D44"/>
    <mergeCell ref="A29:H29"/>
    <mergeCell ref="L19:L20"/>
    <mergeCell ref="M19:M20"/>
    <mergeCell ref="N19:N20"/>
    <mergeCell ref="A21:H21"/>
    <mergeCell ref="A22:H22"/>
    <mergeCell ref="A23:H23"/>
    <mergeCell ref="A24:H24"/>
    <mergeCell ref="A25:H25"/>
    <mergeCell ref="A26:H26"/>
    <mergeCell ref="A27:H27"/>
    <mergeCell ref="A28:H28"/>
    <mergeCell ref="A14:J14"/>
    <mergeCell ref="A16:J16"/>
    <mergeCell ref="A17:J17"/>
    <mergeCell ref="A19:H20"/>
    <mergeCell ref="I19:I20"/>
    <mergeCell ref="J19:J20"/>
    <mergeCell ref="C1:J6"/>
    <mergeCell ref="A1:B6"/>
    <mergeCell ref="A11:H11"/>
    <mergeCell ref="I11:J11"/>
    <mergeCell ref="A7:J7"/>
    <mergeCell ref="A8:J8"/>
    <mergeCell ref="A10:H10"/>
    <mergeCell ref="I10:J10"/>
  </mergeCells>
  <conditionalFormatting sqref="A30:J30">
    <cfRule type="expression" dxfId="3" priority="1" stopIfTrue="1">
      <formula>DESONERACAO="não"</formula>
    </cfRule>
  </conditionalFormatting>
  <conditionalFormatting sqref="J29">
    <cfRule type="expression" dxfId="2" priority="2" stopIfTrue="1">
      <formula>DESONERACAO="não"</formula>
    </cfRule>
  </conditionalFormatting>
  <pageMargins left="0.511811024" right="0.511811024" top="0.78740157499999996" bottom="0.78740157499999996" header="0.31496062000000002" footer="0.31496062000000002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A38" sqref="A38:J38"/>
    </sheetView>
  </sheetViews>
  <sheetFormatPr defaultRowHeight="15" x14ac:dyDescent="0.25"/>
  <sheetData>
    <row r="1" spans="1:10" ht="15" customHeight="1" x14ac:dyDescent="0.25">
      <c r="A1" s="259" t="s">
        <v>249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</row>
    <row r="3" spans="1:10" x14ac:dyDescent="0.25">
      <c r="A3" s="260"/>
      <c r="B3" s="260"/>
      <c r="C3" s="260"/>
      <c r="D3" s="260"/>
      <c r="E3" s="260"/>
      <c r="F3" s="260"/>
      <c r="G3" s="260"/>
      <c r="H3" s="260"/>
      <c r="I3" s="260"/>
      <c r="J3" s="260"/>
    </row>
    <row r="4" spans="1:10" x14ac:dyDescent="0.25">
      <c r="A4" s="260"/>
      <c r="B4" s="260"/>
      <c r="C4" s="260"/>
      <c r="D4" s="260"/>
      <c r="E4" s="260"/>
      <c r="F4" s="260"/>
      <c r="G4" s="260"/>
      <c r="H4" s="260"/>
      <c r="I4" s="260"/>
      <c r="J4" s="260"/>
    </row>
    <row r="5" spans="1:10" x14ac:dyDescent="0.25">
      <c r="A5" s="260"/>
      <c r="B5" s="260"/>
      <c r="C5" s="260"/>
      <c r="D5" s="260"/>
      <c r="E5" s="260"/>
      <c r="F5" s="260"/>
      <c r="G5" s="260"/>
      <c r="H5" s="260"/>
      <c r="I5" s="260"/>
      <c r="J5" s="260"/>
    </row>
    <row r="6" spans="1:10" x14ac:dyDescent="0.25">
      <c r="A6" s="260"/>
      <c r="B6" s="260"/>
      <c r="C6" s="260"/>
      <c r="D6" s="260"/>
      <c r="E6" s="260"/>
      <c r="F6" s="260"/>
      <c r="G6" s="260"/>
      <c r="H6" s="260"/>
      <c r="I6" s="260"/>
      <c r="J6" s="260"/>
    </row>
    <row r="7" spans="1:10" x14ac:dyDescent="0.25">
      <c r="A7" s="230" t="s">
        <v>31</v>
      </c>
      <c r="B7" s="230"/>
      <c r="C7" s="230"/>
      <c r="D7" s="230"/>
      <c r="E7" s="230"/>
      <c r="F7" s="230"/>
      <c r="G7" s="230"/>
      <c r="H7" s="230"/>
      <c r="I7" s="230"/>
      <c r="J7" s="230"/>
    </row>
    <row r="8" spans="1:10" ht="28.5" customHeight="1" x14ac:dyDescent="0.25">
      <c r="A8" s="231"/>
      <c r="B8" s="231"/>
      <c r="C8" s="231"/>
      <c r="D8" s="231"/>
      <c r="E8" s="231"/>
      <c r="F8" s="231"/>
      <c r="G8" s="231"/>
      <c r="H8" s="231"/>
      <c r="I8" s="231"/>
      <c r="J8" s="231"/>
    </row>
    <row r="9" spans="1:10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25">
      <c r="A10" s="232" t="s">
        <v>68</v>
      </c>
      <c r="B10" s="232"/>
      <c r="C10" s="232"/>
      <c r="D10" s="232"/>
      <c r="E10" s="232"/>
      <c r="F10" s="232"/>
      <c r="G10" s="232"/>
      <c r="H10" s="232"/>
      <c r="I10" s="229"/>
      <c r="J10" s="229"/>
    </row>
    <row r="11" spans="1:10" x14ac:dyDescent="0.25">
      <c r="A11" s="228" t="s">
        <v>32</v>
      </c>
      <c r="B11" s="228"/>
      <c r="C11" s="228"/>
      <c r="D11" s="228"/>
      <c r="E11" s="228"/>
      <c r="F11" s="228"/>
      <c r="G11" s="228"/>
      <c r="H11" s="228"/>
      <c r="I11" s="229"/>
      <c r="J11" s="229"/>
    </row>
    <row r="12" spans="1:10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5.75" x14ac:dyDescent="0.25">
      <c r="A14" s="233" t="s">
        <v>18</v>
      </c>
      <c r="B14" s="233"/>
      <c r="C14" s="233"/>
      <c r="D14" s="233"/>
      <c r="E14" s="233"/>
      <c r="F14" s="233"/>
      <c r="G14" s="233"/>
      <c r="H14" s="233"/>
      <c r="I14" s="233"/>
      <c r="J14" s="233"/>
    </row>
    <row r="15" spans="1:10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5">
      <c r="A16" s="230" t="s">
        <v>33</v>
      </c>
      <c r="B16" s="230"/>
      <c r="C16" s="230"/>
      <c r="D16" s="230"/>
      <c r="E16" s="230"/>
      <c r="F16" s="230"/>
      <c r="G16" s="230"/>
      <c r="H16" s="230"/>
      <c r="I16" s="230"/>
      <c r="J16" s="230"/>
    </row>
    <row r="17" spans="1:14" x14ac:dyDescent="0.25">
      <c r="A17" s="234"/>
      <c r="B17" s="234"/>
      <c r="C17" s="234"/>
      <c r="D17" s="234"/>
      <c r="E17" s="234"/>
      <c r="F17" s="234"/>
      <c r="G17" s="234"/>
      <c r="H17" s="234"/>
      <c r="I17" s="234"/>
      <c r="J17" s="234"/>
    </row>
    <row r="18" spans="1:14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4" ht="15" customHeight="1" x14ac:dyDescent="0.25">
      <c r="A19" s="235" t="s">
        <v>34</v>
      </c>
      <c r="B19" s="236"/>
      <c r="C19" s="236"/>
      <c r="D19" s="236"/>
      <c r="E19" s="236"/>
      <c r="F19" s="236"/>
      <c r="G19" s="236"/>
      <c r="H19" s="237"/>
      <c r="I19" s="241" t="s">
        <v>35</v>
      </c>
      <c r="J19" s="243" t="s">
        <v>36</v>
      </c>
      <c r="L19" s="248" t="s">
        <v>37</v>
      </c>
      <c r="M19" s="248" t="s">
        <v>38</v>
      </c>
      <c r="N19" s="248" t="s">
        <v>39</v>
      </c>
    </row>
    <row r="20" spans="1:14" x14ac:dyDescent="0.25">
      <c r="A20" s="238"/>
      <c r="B20" s="239"/>
      <c r="C20" s="239"/>
      <c r="D20" s="239"/>
      <c r="E20" s="239"/>
      <c r="F20" s="239"/>
      <c r="G20" s="239"/>
      <c r="H20" s="240"/>
      <c r="I20" s="242"/>
      <c r="J20" s="244"/>
      <c r="L20" s="248"/>
      <c r="M20" s="248"/>
      <c r="N20" s="248"/>
    </row>
    <row r="21" spans="1:14" ht="15" customHeight="1" x14ac:dyDescent="0.25">
      <c r="A21" s="245" t="s">
        <v>54</v>
      </c>
      <c r="B21" s="246"/>
      <c r="C21" s="246"/>
      <c r="D21" s="246"/>
      <c r="E21" s="246"/>
      <c r="F21" s="246"/>
      <c r="G21" s="246"/>
      <c r="H21" s="247"/>
      <c r="I21" s="31" t="s">
        <v>55</v>
      </c>
      <c r="J21" s="32"/>
      <c r="L21" s="33"/>
      <c r="M21" s="33"/>
      <c r="N21" s="33"/>
    </row>
    <row r="22" spans="1:14" ht="15" customHeight="1" x14ac:dyDescent="0.25">
      <c r="A22" s="245" t="s">
        <v>56</v>
      </c>
      <c r="B22" s="246"/>
      <c r="C22" s="246"/>
      <c r="D22" s="246"/>
      <c r="E22" s="246"/>
      <c r="F22" s="246"/>
      <c r="G22" s="246"/>
      <c r="H22" s="247"/>
      <c r="I22" s="31" t="s">
        <v>57</v>
      </c>
      <c r="J22" s="32"/>
      <c r="L22" s="33"/>
      <c r="M22" s="33"/>
      <c r="N22" s="33"/>
    </row>
    <row r="23" spans="1:14" x14ac:dyDescent="0.25">
      <c r="A23" s="245" t="s">
        <v>58</v>
      </c>
      <c r="B23" s="246"/>
      <c r="C23" s="246"/>
      <c r="D23" s="246"/>
      <c r="E23" s="246"/>
      <c r="F23" s="246"/>
      <c r="G23" s="246"/>
      <c r="H23" s="247"/>
      <c r="I23" s="31" t="s">
        <v>59</v>
      </c>
      <c r="J23" s="32"/>
      <c r="L23" s="33"/>
      <c r="M23" s="33"/>
      <c r="N23" s="33"/>
    </row>
    <row r="24" spans="1:14" ht="15" customHeight="1" x14ac:dyDescent="0.25">
      <c r="A24" s="245" t="s">
        <v>60</v>
      </c>
      <c r="B24" s="246"/>
      <c r="C24" s="246"/>
      <c r="D24" s="246"/>
      <c r="E24" s="246"/>
      <c r="F24" s="246"/>
      <c r="G24" s="246"/>
      <c r="H24" s="247"/>
      <c r="I24" s="31" t="s">
        <v>61</v>
      </c>
      <c r="J24" s="32"/>
      <c r="L24" s="33"/>
      <c r="M24" s="33"/>
      <c r="N24" s="33"/>
    </row>
    <row r="25" spans="1:14" x14ac:dyDescent="0.25">
      <c r="A25" s="245" t="s">
        <v>62</v>
      </c>
      <c r="B25" s="246"/>
      <c r="C25" s="246"/>
      <c r="D25" s="246"/>
      <c r="E25" s="246"/>
      <c r="F25" s="246"/>
      <c r="G25" s="246"/>
      <c r="H25" s="247"/>
      <c r="I25" s="31" t="s">
        <v>63</v>
      </c>
      <c r="J25" s="32"/>
      <c r="L25" s="33"/>
      <c r="M25" s="33"/>
      <c r="N25" s="33"/>
    </row>
    <row r="26" spans="1:14" ht="15" customHeight="1" x14ac:dyDescent="0.25">
      <c r="A26" s="245" t="s">
        <v>41</v>
      </c>
      <c r="B26" s="246"/>
      <c r="C26" s="246"/>
      <c r="D26" s="246"/>
      <c r="E26" s="246"/>
      <c r="F26" s="246"/>
      <c r="G26" s="246"/>
      <c r="H26" s="247"/>
      <c r="I26" s="31" t="s">
        <v>42</v>
      </c>
      <c r="J26" s="32"/>
      <c r="L26" s="33"/>
      <c r="M26" s="33"/>
      <c r="N26" s="33"/>
    </row>
    <row r="27" spans="1:14" ht="15" customHeight="1" x14ac:dyDescent="0.25">
      <c r="A27" s="245" t="s">
        <v>43</v>
      </c>
      <c r="B27" s="246"/>
      <c r="C27" s="246"/>
      <c r="D27" s="246"/>
      <c r="E27" s="246"/>
      <c r="F27" s="246"/>
      <c r="G27" s="246"/>
      <c r="H27" s="247"/>
      <c r="I27" s="31" t="s">
        <v>44</v>
      </c>
      <c r="J27" s="33">
        <f>I10*I11</f>
        <v>0</v>
      </c>
      <c r="L27" s="33"/>
      <c r="M27" s="33"/>
      <c r="N27" s="33"/>
    </row>
    <row r="28" spans="1:14" ht="15" customHeight="1" x14ac:dyDescent="0.25">
      <c r="A28" s="245" t="s">
        <v>45</v>
      </c>
      <c r="B28" s="246"/>
      <c r="C28" s="246"/>
      <c r="D28" s="246"/>
      <c r="E28" s="246"/>
      <c r="F28" s="246"/>
      <c r="G28" s="246"/>
      <c r="H28" s="247"/>
      <c r="I28" s="31" t="s">
        <v>46</v>
      </c>
      <c r="J28" s="32"/>
      <c r="L28" s="34"/>
      <c r="M28" s="34"/>
      <c r="N28" s="34"/>
    </row>
    <row r="29" spans="1:14" ht="28.5" customHeight="1" x14ac:dyDescent="0.25">
      <c r="A29" s="245" t="s">
        <v>47</v>
      </c>
      <c r="B29" s="246"/>
      <c r="C29" s="246"/>
      <c r="D29" s="246"/>
      <c r="E29" s="246"/>
      <c r="F29" s="246"/>
      <c r="G29" s="246"/>
      <c r="H29" s="247"/>
      <c r="I29" s="35" t="s">
        <v>48</v>
      </c>
      <c r="J29" s="33">
        <f>ROUND((((1+J21+J22+J23)*(1+J24)*(1+J25)/(1-(J26+J27+J28)))-1),4)</f>
        <v>0</v>
      </c>
      <c r="L29" s="33"/>
      <c r="M29" s="33"/>
      <c r="N29" s="33"/>
    </row>
    <row r="30" spans="1:14" x14ac:dyDescent="0.25">
      <c r="A30" s="251"/>
      <c r="B30" s="251"/>
      <c r="C30" s="251"/>
      <c r="D30" s="251"/>
      <c r="E30" s="251"/>
      <c r="F30" s="251"/>
      <c r="G30" s="251"/>
      <c r="H30" s="251"/>
      <c r="I30" s="36"/>
      <c r="J30" s="37"/>
    </row>
    <row r="31" spans="1:14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4" ht="30.75" customHeight="1" x14ac:dyDescent="0.25">
      <c r="A32" s="252" t="s">
        <v>69</v>
      </c>
      <c r="B32" s="252"/>
      <c r="C32" s="252"/>
      <c r="D32" s="252"/>
      <c r="E32" s="252"/>
      <c r="F32" s="252"/>
      <c r="G32" s="252"/>
      <c r="H32" s="252"/>
      <c r="I32" s="252"/>
      <c r="J32" s="252"/>
    </row>
    <row r="33" spans="1:10" ht="15.75" x14ac:dyDescent="0.25">
      <c r="A33" s="38"/>
      <c r="B33" s="38"/>
      <c r="C33" s="38"/>
      <c r="D33" s="49"/>
      <c r="E33" s="253"/>
      <c r="F33" s="253"/>
      <c r="G33" s="253"/>
      <c r="H33" s="50"/>
      <c r="I33" s="38"/>
      <c r="J33" s="38"/>
    </row>
    <row r="34" spans="1:10" ht="15.75" customHeight="1" x14ac:dyDescent="0.25">
      <c r="A34" s="38"/>
      <c r="B34" s="254" t="s">
        <v>49</v>
      </c>
      <c r="C34" s="255" t="s">
        <v>65</v>
      </c>
      <c r="D34" s="255"/>
      <c r="E34" s="255"/>
      <c r="F34" s="255"/>
      <c r="G34" s="256" t="s">
        <v>50</v>
      </c>
      <c r="H34" s="52"/>
      <c r="I34" s="38"/>
      <c r="J34" s="38"/>
    </row>
    <row r="35" spans="1:10" ht="15.75" customHeight="1" x14ac:dyDescent="0.25">
      <c r="A35" s="38"/>
      <c r="B35" s="254"/>
      <c r="C35" s="257" t="s">
        <v>51</v>
      </c>
      <c r="D35" s="257"/>
      <c r="E35" s="257"/>
      <c r="F35" s="257"/>
      <c r="G35" s="256"/>
      <c r="H35" s="52"/>
      <c r="I35" s="38"/>
      <c r="J35" s="38"/>
    </row>
    <row r="36" spans="1:10" ht="15.75" x14ac:dyDescent="0.25">
      <c r="A36" s="38"/>
      <c r="B36" s="38"/>
      <c r="C36" s="38"/>
      <c r="D36" s="49"/>
      <c r="E36" s="51"/>
      <c r="F36" s="51"/>
      <c r="G36" s="51"/>
      <c r="H36" s="50"/>
      <c r="I36" s="38"/>
      <c r="J36" s="38"/>
    </row>
    <row r="37" spans="1:10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32.25" customHeight="1" x14ac:dyDescent="0.25">
      <c r="A38" s="258" t="s">
        <v>66</v>
      </c>
      <c r="B38" s="258"/>
      <c r="C38" s="258"/>
      <c r="D38" s="258"/>
      <c r="E38" s="258"/>
      <c r="F38" s="258"/>
      <c r="G38" s="258"/>
      <c r="H38" s="258"/>
      <c r="I38" s="258"/>
      <c r="J38" s="258"/>
    </row>
    <row r="39" spans="1:10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0" ht="48" customHeight="1" x14ac:dyDescent="0.25">
      <c r="A40" s="258" t="s">
        <v>67</v>
      </c>
      <c r="B40" s="258"/>
      <c r="C40" s="258"/>
      <c r="D40" s="258"/>
      <c r="E40" s="258"/>
      <c r="F40" s="258"/>
      <c r="G40" s="258"/>
      <c r="H40" s="258"/>
      <c r="I40" s="258"/>
      <c r="J40" s="258"/>
    </row>
    <row r="41" spans="1:10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spans="1:10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spans="1:10" x14ac:dyDescent="0.25">
      <c r="A43" s="225"/>
      <c r="B43" s="225"/>
      <c r="C43" s="225"/>
      <c r="D43" s="225"/>
      <c r="E43" s="30"/>
      <c r="F43" s="30"/>
      <c r="G43" s="226"/>
      <c r="H43" s="226"/>
      <c r="I43" s="226"/>
      <c r="J43" s="226"/>
    </row>
    <row r="44" spans="1:10" x14ac:dyDescent="0.25">
      <c r="A44" s="227" t="s">
        <v>52</v>
      </c>
      <c r="B44" s="227"/>
      <c r="C44" s="227"/>
      <c r="D44" s="227"/>
      <c r="E44" s="30"/>
      <c r="F44" s="40"/>
      <c r="G44" s="41" t="s">
        <v>53</v>
      </c>
      <c r="H44" s="42"/>
      <c r="I44" s="42"/>
      <c r="J44" s="42"/>
    </row>
    <row r="45" spans="1:10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6" spans="1:10" x14ac:dyDescent="0.25">
      <c r="A46" s="219"/>
      <c r="B46" s="219"/>
      <c r="C46" s="219"/>
      <c r="D46" s="219"/>
      <c r="E46" s="43"/>
      <c r="F46" s="30"/>
      <c r="G46" s="219"/>
      <c r="H46" s="219"/>
      <c r="I46" s="219"/>
      <c r="J46" s="219"/>
    </row>
    <row r="47" spans="1:10" x14ac:dyDescent="0.25">
      <c r="A47" s="224" t="s">
        <v>29</v>
      </c>
      <c r="B47" s="224"/>
      <c r="C47" s="224"/>
      <c r="D47" s="224"/>
      <c r="E47" s="44"/>
      <c r="F47" s="30"/>
      <c r="G47" s="224" t="s">
        <v>24</v>
      </c>
      <c r="H47" s="224"/>
      <c r="I47" s="224"/>
      <c r="J47" s="224"/>
    </row>
    <row r="48" spans="1:10" x14ac:dyDescent="0.25">
      <c r="A48" s="53" t="s">
        <v>30</v>
      </c>
      <c r="B48" s="46"/>
      <c r="C48" s="47"/>
      <c r="D48" s="47"/>
      <c r="E48" s="48"/>
      <c r="F48" s="30"/>
      <c r="G48" s="30"/>
      <c r="H48" s="30"/>
      <c r="I48" s="30"/>
      <c r="J48" s="30"/>
    </row>
    <row r="49" spans="1:10" x14ac:dyDescent="0.25">
      <c r="A49" s="45"/>
      <c r="B49" s="46"/>
      <c r="C49" s="47"/>
      <c r="D49" s="47"/>
      <c r="E49" s="48"/>
      <c r="F49" s="30"/>
      <c r="G49" s="30"/>
      <c r="H49" s="30"/>
      <c r="I49" s="30"/>
      <c r="J49" s="30"/>
    </row>
    <row r="50" spans="1:10" x14ac:dyDescent="0.25">
      <c r="A50" s="45"/>
      <c r="B50" s="46"/>
      <c r="C50" s="47"/>
      <c r="D50" s="47"/>
      <c r="E50" s="48"/>
      <c r="F50" s="30"/>
      <c r="G50" s="30"/>
      <c r="H50" s="30"/>
      <c r="I50" s="30"/>
      <c r="J50" s="30"/>
    </row>
  </sheetData>
  <mergeCells count="41">
    <mergeCell ref="G47:J47"/>
    <mergeCell ref="A32:J32"/>
    <mergeCell ref="A1:J6"/>
    <mergeCell ref="B34:B35"/>
    <mergeCell ref="C34:F34"/>
    <mergeCell ref="C35:F35"/>
    <mergeCell ref="G34:G35"/>
    <mergeCell ref="A47:D47"/>
    <mergeCell ref="A40:J40"/>
    <mergeCell ref="A43:D43"/>
    <mergeCell ref="G43:J43"/>
    <mergeCell ref="A44:D44"/>
    <mergeCell ref="A46:D46"/>
    <mergeCell ref="G46:J46"/>
    <mergeCell ref="E33:G33"/>
    <mergeCell ref="A38:J38"/>
    <mergeCell ref="A28:H28"/>
    <mergeCell ref="A29:H29"/>
    <mergeCell ref="A30:H30"/>
    <mergeCell ref="A25:H25"/>
    <mergeCell ref="A26:H26"/>
    <mergeCell ref="A27:H27"/>
    <mergeCell ref="A22:H22"/>
    <mergeCell ref="A23:H23"/>
    <mergeCell ref="A24:H24"/>
    <mergeCell ref="L19:L20"/>
    <mergeCell ref="M19:M20"/>
    <mergeCell ref="N19:N20"/>
    <mergeCell ref="A21:H21"/>
    <mergeCell ref="A14:J14"/>
    <mergeCell ref="A16:J16"/>
    <mergeCell ref="A17:J17"/>
    <mergeCell ref="A19:H20"/>
    <mergeCell ref="I19:I20"/>
    <mergeCell ref="J19:J20"/>
    <mergeCell ref="A7:J7"/>
    <mergeCell ref="A8:J8"/>
    <mergeCell ref="A10:H10"/>
    <mergeCell ref="I10:J10"/>
    <mergeCell ref="A11:H11"/>
    <mergeCell ref="I11:J11"/>
  </mergeCells>
  <conditionalFormatting sqref="A30:J30">
    <cfRule type="expression" dxfId="1" priority="1" stopIfTrue="1">
      <formula>DESONERACAO="não"</formula>
    </cfRule>
  </conditionalFormatting>
  <conditionalFormatting sqref="J29">
    <cfRule type="expression" dxfId="0" priority="4" stopIfTrue="1">
      <formula>DESONERACAO="não"</formula>
    </cfRule>
  </conditionalFormatting>
  <pageMargins left="0.511811024" right="0.511811024" top="0.78740157499999996" bottom="0.78740157499999996" header="0.31496062000000002" footer="0.31496062000000002"/>
  <ignoredErrors>
    <ignoredError sqref="G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ORÇ</vt:lpstr>
      <vt:lpstr>CFF</vt:lpstr>
      <vt:lpstr>BDI 1</vt:lpstr>
      <vt:lpstr>BDI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2024-02-26T13:42:11Z</cp:lastPrinted>
  <dcterms:created xsi:type="dcterms:W3CDTF">2023-06-16T19:05:15Z</dcterms:created>
  <dcterms:modified xsi:type="dcterms:W3CDTF">2024-03-01T18:24:14Z</dcterms:modified>
</cp:coreProperties>
</file>